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610" activeTab="1"/>
  </bookViews>
  <sheets>
    <sheet name="MEMO" sheetId="1" r:id="rId1"/>
    <sheet name="入力画面" sheetId="2" r:id="rId2"/>
    <sheet name="テーブル" sheetId="3" r:id="rId3"/>
    <sheet name="元数値" sheetId="4" r:id="rId4"/>
  </sheets>
  <definedNames>
    <definedName name="_xlnm.Print_Area" localSheetId="0">'MEMO'!$A$36:$M$48</definedName>
    <definedName name="_xlnm.Print_Area" localSheetId="3">'元数値'!$A$1:$O$52</definedName>
    <definedName name="_xlnm.Print_Area" localSheetId="1">'入力画面'!$CO$1:$DF$41</definedName>
    <definedName name="旧償却率">'テーブル'!$S$8:$W$106</definedName>
    <definedName name="新償却率">'テーブル'!$C$7:$P$106</definedName>
  </definedNames>
  <calcPr fullCalcOnLoad="1"/>
</workbook>
</file>

<file path=xl/comments2.xml><?xml version="1.0" encoding="utf-8"?>
<comments xmlns="http://schemas.openxmlformats.org/spreadsheetml/2006/main">
  <authors>
    <author>hokarihiroshi</author>
    <author> hokari hiroshi</author>
    <author>hokari</author>
  </authors>
  <commentList>
    <comment ref="I6" authorId="0">
      <text>
        <r>
          <rPr>
            <b/>
            <sz val="9"/>
            <rFont val="ＭＳ Ｐゴシック"/>
            <family val="3"/>
          </rPr>
          <t>hokarihiroshi:</t>
        </r>
        <r>
          <rPr>
            <sz val="9"/>
            <rFont val="ＭＳ Ｐゴシック"/>
            <family val="3"/>
          </rPr>
          <t xml:space="preserve">
H2０.4.1以降の取得機械は7年、古い機械もH21以降は7年と入力ください。</t>
        </r>
      </text>
    </comment>
    <comment ref="AX5" authorId="1">
      <text>
        <r>
          <rPr>
            <b/>
            <sz val="9"/>
            <rFont val="ＭＳ Ｐゴシック"/>
            <family val="3"/>
          </rPr>
          <t xml:space="preserve"> hokari hiroshi:</t>
        </r>
        <r>
          <rPr>
            <sz val="9"/>
            <rFont val="ＭＳ Ｐゴシック"/>
            <family val="3"/>
          </rPr>
          <t xml:space="preserve">
２００７４以降は取得額、それ以前は取得額の９０％</t>
        </r>
      </text>
    </comment>
    <comment ref="BA5" authorId="1">
      <text>
        <r>
          <rPr>
            <b/>
            <sz val="9"/>
            <rFont val="ＭＳ Ｐゴシック"/>
            <family val="3"/>
          </rPr>
          <t xml:space="preserve"> hokari hiroshi:</t>
        </r>
        <r>
          <rPr>
            <sz val="9"/>
            <rFont val="ＭＳ Ｐゴシック"/>
            <family val="3"/>
          </rPr>
          <t xml:space="preserve">
H21以降は機会は一律7年となった
</t>
        </r>
      </text>
    </comment>
    <comment ref="AZ5" authorId="1">
      <text>
        <r>
          <rPr>
            <b/>
            <sz val="9"/>
            <rFont val="ＭＳ Ｐゴシック"/>
            <family val="3"/>
          </rPr>
          <t xml:space="preserve"> hokari hiroshi:</t>
        </r>
        <r>
          <rPr>
            <sz val="9"/>
            <rFont val="ＭＳ Ｐゴシック"/>
            <family val="3"/>
          </rPr>
          <t xml:space="preserve">
H21以降は機会は一律7年となった
</t>
        </r>
      </text>
    </comment>
    <comment ref="BN4" authorId="1">
      <text>
        <r>
          <rPr>
            <b/>
            <sz val="9"/>
            <rFont val="ＭＳ Ｐゴシック"/>
            <family val="3"/>
          </rPr>
          <t xml:space="preserve"> hokari hiroshi:</t>
        </r>
        <r>
          <rPr>
            <sz val="9"/>
            <rFont val="ＭＳ Ｐゴシック"/>
            <family val="3"/>
          </rPr>
          <t xml:space="preserve">
２００７．４(h19.4)以降取得財産は新定額法、２００９（H21）からは耐用年数変更
</t>
        </r>
      </text>
    </comment>
    <comment ref="BL5" authorId="2">
      <text>
        <r>
          <rPr>
            <b/>
            <sz val="9"/>
            <rFont val="ＭＳ Ｐゴシック"/>
            <family val="3"/>
          </rPr>
          <t>INT(G7*0.05)-((G7*0.05-0.6)/5)*($AF$3+1-AK7)
本来はー１のところー０．６として見た目の残を2万とか1万に調整</t>
        </r>
      </text>
    </comment>
    <comment ref="I108" authorId="0">
      <text>
        <r>
          <rPr>
            <b/>
            <sz val="9"/>
            <rFont val="ＭＳ Ｐゴシック"/>
            <family val="3"/>
          </rPr>
          <t>hokarihiroshi:</t>
        </r>
        <r>
          <rPr>
            <sz val="9"/>
            <rFont val="ＭＳ Ｐゴシック"/>
            <family val="3"/>
          </rPr>
          <t xml:space="preserve">
H2０.4.1以降の取得機械は7年、古い機械もH21以降は7年と入力ください。</t>
        </r>
      </text>
    </comment>
    <comment ref="H6" authorId="0">
      <text>
        <r>
          <rPr>
            <b/>
            <sz val="9"/>
            <rFont val="ＭＳ Ｐゴシック"/>
            <family val="3"/>
          </rPr>
          <t>hokarihiroshi:H21以降取得財産は入力省略可能</t>
        </r>
      </text>
    </comment>
    <comment ref="N6" authorId="2">
      <text>
        <r>
          <rPr>
            <sz val="9"/>
            <rFont val="ＭＳ Ｐゴシック"/>
            <family val="3"/>
          </rPr>
          <t xml:space="preserve">普通償却額に事業割合を掛けた値　等年度廃棄の場合は月数按分
</t>
        </r>
      </text>
    </comment>
    <comment ref="O6" authorId="2">
      <text>
        <r>
          <rPr>
            <sz val="9"/>
            <rFont val="ＭＳ Ｐゴシック"/>
            <family val="3"/>
          </rPr>
          <t xml:space="preserve">普通償却額を期首残高から引いた値。事業割合は計算しない値
</t>
        </r>
      </text>
    </comment>
    <comment ref="BX3" authorId="2">
      <text>
        <r>
          <rPr>
            <b/>
            <sz val="9"/>
            <rFont val="ＭＳ Ｐゴシック"/>
            <family val="3"/>
          </rPr>
          <t>hokari:</t>
        </r>
        <r>
          <rPr>
            <sz val="9"/>
            <rFont val="ＭＳ Ｐゴシック"/>
            <family val="3"/>
          </rPr>
          <t xml:space="preserve">
税務署ソフトは今期末簿価をこの数字にしている。期中の処分があった場合はCA列が正しいのではないでしょうか</t>
        </r>
      </text>
    </comment>
    <comment ref="O2" authorId="0">
      <text>
        <r>
          <rPr>
            <b/>
            <sz val="9"/>
            <rFont val="ＭＳ Ｐゴシック"/>
            <family val="3"/>
          </rPr>
          <t>hokarihiroshi:</t>
        </r>
        <r>
          <rPr>
            <sz val="9"/>
            <rFont val="ＭＳ Ｐゴシック"/>
            <family val="3"/>
          </rPr>
          <t xml:space="preserve">
ホームページが出ます。下段の　農家のための減価償却計算　実用版を選んでください。</t>
        </r>
      </text>
    </comment>
    <comment ref="O3" authorId="2">
      <text>
        <r>
          <rPr>
            <b/>
            <sz val="9"/>
            <rFont val="ＭＳ Ｐゴシック"/>
            <family val="3"/>
          </rPr>
          <t>hokari:不具合があったときは作者にメールをいただけると助かります。</t>
        </r>
        <r>
          <rPr>
            <sz val="9"/>
            <rFont val="ＭＳ Ｐゴシック"/>
            <family val="3"/>
          </rPr>
          <t xml:space="preserve">
</t>
        </r>
      </text>
    </comment>
  </commentList>
</comments>
</file>

<file path=xl/comments3.xml><?xml version="1.0" encoding="utf-8"?>
<comments xmlns="http://schemas.openxmlformats.org/spreadsheetml/2006/main">
  <authors>
    <author>hokarihiroshi</author>
    <author>hokari</author>
  </authors>
  <commentList>
    <comment ref="F6" authorId="0">
      <text>
        <r>
          <rPr>
            <b/>
            <sz val="9"/>
            <rFont val="ＭＳ Ｐゴシック"/>
            <family val="3"/>
          </rPr>
          <t>hokarihiroshi:</t>
        </r>
        <r>
          <rPr>
            <sz val="9"/>
            <rFont val="ＭＳ Ｐゴシック"/>
            <family val="3"/>
          </rPr>
          <t xml:space="preserve">
H19.4以降取得財産に適用</t>
        </r>
      </text>
    </comment>
    <comment ref="J6" authorId="0">
      <text>
        <r>
          <rPr>
            <b/>
            <sz val="9"/>
            <rFont val="ＭＳ Ｐゴシック"/>
            <family val="3"/>
          </rPr>
          <t>hokarihiroshi:</t>
        </r>
        <r>
          <rPr>
            <sz val="9"/>
            <rFont val="ＭＳ Ｐゴシック"/>
            <family val="3"/>
          </rPr>
          <t xml:space="preserve">
Ｈ１９．３まで取得財産は９０％を基礎に計算。Ｈ19.4よりこちらのテーブルを使う。H20年度農業所得はこのテーブル
</t>
        </r>
      </text>
    </comment>
    <comment ref="V6" authorId="0">
      <text>
        <r>
          <rPr>
            <b/>
            <sz val="9"/>
            <rFont val="ＭＳ Ｐゴシック"/>
            <family val="3"/>
          </rPr>
          <t>hokarihiroshi:</t>
        </r>
        <r>
          <rPr>
            <sz val="9"/>
            <rFont val="ＭＳ Ｐゴシック"/>
            <family val="3"/>
          </rPr>
          <t xml:space="preserve">
H19.3までの所得資産についてＨ１９．３まではこの表による計算を行う
</t>
        </r>
      </text>
    </comment>
    <comment ref="R7" authorId="1">
      <text>
        <r>
          <rPr>
            <b/>
            <sz val="9"/>
            <rFont val="ＭＳ Ｐゴシック"/>
            <family val="3"/>
          </rPr>
          <t>hokari:</t>
        </r>
        <r>
          <rPr>
            <sz val="9"/>
            <rFont val="ＭＳ Ｐゴシック"/>
            <family val="3"/>
          </rPr>
          <t xml:space="preserve">
例：現在が15年だとH1０末までは16年で計算する。</t>
        </r>
      </text>
    </comment>
  </commentList>
</comments>
</file>

<file path=xl/sharedStrings.xml><?xml version="1.0" encoding="utf-8"?>
<sst xmlns="http://schemas.openxmlformats.org/spreadsheetml/2006/main" count="980" uniqueCount="670">
  <si>
    <t>取得価額</t>
  </si>
  <si>
    <t>償却の基礎</t>
  </si>
  <si>
    <t>償却率表</t>
  </si>
  <si>
    <t>H10改正調整分</t>
  </si>
  <si>
    <t>新H19.4以降</t>
  </si>
  <si>
    <t>計算例</t>
  </si>
  <si>
    <t>１００万円で取得　５年償却　　平成２０年４月所得</t>
  </si>
  <si>
    <t>H20</t>
  </si>
  <si>
    <t>H20</t>
  </si>
  <si>
    <t>H21</t>
  </si>
  <si>
    <t>H21</t>
  </si>
  <si>
    <t>H22</t>
  </si>
  <si>
    <t>H22</t>
  </si>
  <si>
    <t>H23</t>
  </si>
  <si>
    <t>H23</t>
  </si>
  <si>
    <t>H24</t>
  </si>
  <si>
    <t>H24</t>
  </si>
  <si>
    <t>H25</t>
  </si>
  <si>
    <t>H25</t>
  </si>
  <si>
    <t>今期償却</t>
  </si>
  <si>
    <t>残存</t>
  </si>
  <si>
    <t>H26</t>
  </si>
  <si>
    <t>H27</t>
  </si>
  <si>
    <t>H28</t>
  </si>
  <si>
    <t>H29</t>
  </si>
  <si>
    <t>H19</t>
  </si>
  <si>
    <t>H19</t>
  </si>
  <si>
    <t>H26</t>
  </si>
  <si>
    <t>H27</t>
  </si>
  <si>
    <t>H28</t>
  </si>
  <si>
    <t>H29</t>
  </si>
  <si>
    <t>取得時期</t>
  </si>
  <si>
    <t>減価償却費計算　　</t>
  </si>
  <si>
    <t>平成</t>
  </si>
  <si>
    <t>年分</t>
  </si>
  <si>
    <t>氏名</t>
  </si>
  <si>
    <t>項
番</t>
  </si>
  <si>
    <t>減価償却資産の名称</t>
  </si>
  <si>
    <t>建物</t>
  </si>
  <si>
    <t>面積　数量</t>
  </si>
  <si>
    <t>取得年月
年　　月</t>
  </si>
  <si>
    <t>取得価額　　円</t>
  </si>
  <si>
    <t>事業割合%</t>
  </si>
  <si>
    <t>廃棄
月</t>
  </si>
  <si>
    <t>になる金額</t>
  </si>
  <si>
    <t>耐用年数</t>
  </si>
  <si>
    <t>年数</t>
  </si>
  <si>
    <t>作業場</t>
  </si>
  <si>
    <t>◎</t>
  </si>
  <si>
    <t/>
  </si>
  <si>
    <t>ビニルハウス</t>
  </si>
  <si>
    <t>まめもぎ機</t>
  </si>
  <si>
    <t>軽トラック</t>
  </si>
  <si>
    <t>野菜定植機</t>
  </si>
  <si>
    <t>管理機</t>
  </si>
  <si>
    <t>けいせい機</t>
  </si>
  <si>
    <t>選別機</t>
  </si>
  <si>
    <t>動力噴霧器</t>
  </si>
  <si>
    <t>3年
償却</t>
  </si>
  <si>
    <t>減価償却費の計算書</t>
  </si>
  <si>
    <t>イ</t>
  </si>
  <si>
    <t>ロ</t>
  </si>
  <si>
    <t>ハ</t>
  </si>
  <si>
    <t>ニ</t>
  </si>
  <si>
    <t>ト</t>
  </si>
  <si>
    <t>チ</t>
  </si>
  <si>
    <t>リ</t>
  </si>
  <si>
    <t>ヌ</t>
  </si>
  <si>
    <t>面積</t>
  </si>
  <si>
    <t>得</t>
  </si>
  <si>
    <t>廃棄</t>
  </si>
  <si>
    <t>償却</t>
  </si>
  <si>
    <t>耐用</t>
  </si>
  <si>
    <t>本年中の</t>
  </si>
  <si>
    <t>本年分の</t>
  </si>
  <si>
    <t>事業専</t>
  </si>
  <si>
    <t>本年分の必要</t>
  </si>
  <si>
    <t>年</t>
  </si>
  <si>
    <t>月</t>
  </si>
  <si>
    <t>方法</t>
  </si>
  <si>
    <t>償却期間</t>
  </si>
  <si>
    <t>普通償却費</t>
  </si>
  <si>
    <t>用割合</t>
  </si>
  <si>
    <t>経費算入額</t>
  </si>
  <si>
    <t>（期末残高）</t>
  </si>
  <si>
    <t>合　　計</t>
  </si>
  <si>
    <t>原価償却（定額法）の改正の流れとプログラム作成上の考え方メモ</t>
  </si>
  <si>
    <t>平成１９年改正により、新定額法が始まる　H20年度より１円まで均等償却　H19.4.1以降の取得は90%計算なし</t>
  </si>
  <si>
    <t>個人の所得計算においては強制償却なので、取得日と取得金額がわかれば、自動計算が可能</t>
  </si>
  <si>
    <t>Ｈ２０改正により、従前の耐用年数と新耐用年数の２つを入力する必要が出た</t>
  </si>
  <si>
    <t>H21以降</t>
  </si>
  <si>
    <t>H20迄</t>
  </si>
  <si>
    <t>H19.3月以前取得は旧定額法、4月以降取得は新定額法</t>
  </si>
  <si>
    <t>フロー図</t>
  </si>
  <si>
    <t>Ｈ２０改正により機械類が一律７年になる　　H20.4.1以降開始事業年度から適用→農業者はH21年度より適用</t>
  </si>
  <si>
    <t>１　耐用年数H20迄の計算</t>
  </si>
  <si>
    <t>　　①H19.4未満の旧定額法</t>
  </si>
  <si>
    <t>20年4月以降の入力があった場合は耐用年数の欄を自動的にH21のみ有効としたい</t>
  </si>
  <si>
    <t>H19.4以降は新定額法　それ以前は旧定額法</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</si>
  <si>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</si>
  <si>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</si>
  <si>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</si>
  <si>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</si>
  <si>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</si>
  <si>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</si>
  <si>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</si>
  <si>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</si>
  <si>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</si>
  <si>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</si>
  <si>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</si>
  <si>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</si>
  <si>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</si>
  <si>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</si>
  <si>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</si>
  <si>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</si>
  <si>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</si>
  <si>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</si>
  <si>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</si>
  <si>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</si>
  <si>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</si>
  <si>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</si>
  <si>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</si>
  <si>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</si>
  <si>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</si>
  <si>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</si>
  <si>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</si>
  <si>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</si>
  <si>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</si>
  <si>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</si>
  <si>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</si>
  <si>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</si>
  <si>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</si>
  <si>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</si>
  <si>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</si>
  <si>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</si>
  <si>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</si>
  <si>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</si>
  <si>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</si>
  <si>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</si>
  <si>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</si>
  <si>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</si>
  <si>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</si>
  <si>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</si>
  <si>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</si>
  <si>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</si>
  <si>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</si>
  <si>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</si>
  <si>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</si>
  <si>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</si>
  <si>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</si>
  <si>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</si>
  <si>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</si>
  <si>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</si>
  <si>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</si>
  <si>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</si>
  <si>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</si>
  <si>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</si>
  <si>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</si>
  <si>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</si>
  <si>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</si>
  <si>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</si>
  <si>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取得日の西暦換算</t>
  </si>
  <si>
    <t>計算分岐判定→→→→→→→→</t>
  </si>
  <si>
    <t>この改正は、既存の減価償却資産を含め、平成２０年４月１日以後開始する事業年度について適用されます。</t>
  </si>
  <si>
    <t>平成2１年１月1日（２００８１）以降取得機は7年となる</t>
  </si>
  <si>
    <t>旧定額</t>
  </si>
  <si>
    <t>新定額</t>
  </si>
  <si>
    <t>１００万円で取得　５年償却　　平成19年4月所得</t>
  </si>
  <si>
    <t>計算基礎データ取得</t>
  </si>
  <si>
    <t>H21.1以降取得かどうか→償却率表変更</t>
  </si>
  <si>
    <t>建物かどうか→建物はH11年度から自動耐用年数変更</t>
  </si>
  <si>
    <t>H19.4より前の所得かどうか→旧定額かどうか　→旧定額法ならば均等償却ありかつH21以降耐用年数変更</t>
  </si>
  <si>
    <t>今年は西暦</t>
  </si>
  <si>
    <t>判定</t>
  </si>
  <si>
    <t>入力はＨ２１以降しか計算できないようにした</t>
  </si>
  <si>
    <t>　　②H19.4以降の新定額法(新table)</t>
  </si>
  <si>
    <t>sample</t>
  </si>
  <si>
    <t>100万</t>
  </si>
  <si>
    <t>5年当初</t>
  </si>
  <si>
    <t>7年改正後</t>
  </si>
  <si>
    <t>H19.3取得</t>
  </si>
  <si>
    <t>H20</t>
  </si>
  <si>
    <t>H21</t>
  </si>
  <si>
    <t>H22</t>
  </si>
  <si>
    <t>H23</t>
  </si>
  <si>
    <t>H24</t>
  </si>
  <si>
    <t>H25</t>
  </si>
  <si>
    <t>H26</t>
  </si>
  <si>
    <t>今期</t>
  </si>
  <si>
    <t>初回</t>
  </si>
  <si>
    <t>通常</t>
  </si>
  <si>
    <t>旧率</t>
  </si>
  <si>
    <t>新率</t>
  </si>
  <si>
    <t>定額最終</t>
  </si>
  <si>
    <t>均等償却</t>
  </si>
  <si>
    <t>均等最終</t>
  </si>
  <si>
    <t>変更１</t>
  </si>
  <si>
    <t>変更2</t>
  </si>
  <si>
    <t>変更3</t>
  </si>
  <si>
    <t>変更4</t>
  </si>
  <si>
    <t>変更5</t>
  </si>
  <si>
    <t>償却回数</t>
  </si>
  <si>
    <t>率</t>
  </si>
  <si>
    <t>作成する関数</t>
  </si>
  <si>
    <t>func(初回)</t>
  </si>
  <si>
    <t>条件</t>
  </si>
  <si>
    <t>H19.3まで取得のもの</t>
  </si>
  <si>
    <t>func(初回以降)  H19.4より新償却率表</t>
  </si>
  <si>
    <t>func（償却回数)</t>
  </si>
  <si>
    <t>H19.3まで取得の場合で</t>
  </si>
  <si>
    <t>H19.3までで終了する場合</t>
  </si>
  <si>
    <t>func（最終回）</t>
  </si>
  <si>
    <t>func(均等償却)</t>
  </si>
  <si>
    <t>func（新定額）</t>
  </si>
  <si>
    <t>H19.3迄取得</t>
  </si>
  <si>
    <t>途中から均等5回</t>
  </si>
  <si>
    <t>旧定額　９０％処理</t>
  </si>
  <si>
    <t>H20.4後取得</t>
  </si>
  <si>
    <t>新定額　</t>
  </si>
  <si>
    <t>新率H21</t>
  </si>
  <si>
    <t>耐用年数変更</t>
  </si>
  <si>
    <t>H21　はじめから耐用年数変更</t>
  </si>
  <si>
    <t>１月</t>
  </si>
  <si>
    <t>1年</t>
  </si>
  <si>
    <t>100万あたり  新定額計算</t>
  </si>
  <si>
    <t>100万あたり  旧定額計算</t>
  </si>
  <si>
    <t>１００万円あたり</t>
  </si>
  <si>
    <t>建物のみ</t>
  </si>
  <si>
    <t>1月</t>
  </si>
  <si>
    <t>１年</t>
  </si>
  <si>
    <t>どのテーブルを使うかの判定</t>
  </si>
  <si>
    <t>H19.年末までの月数</t>
  </si>
  <si>
    <t>h19.年末残存簿価</t>
  </si>
  <si>
    <t>マイナス修正後H19末簿価</t>
  </si>
  <si>
    <t>現在の年数</t>
  </si>
  <si>
    <t>H10末までの耐用年数</t>
  </si>
  <si>
    <t>H19末までの残存建物簿価</t>
  </si>
  <si>
    <t>とりあえずH19末までを計算し右表に渡す</t>
  </si>
  <si>
    <t>旧定額法　H20以降の計算　　　H19.3まで取得の財産</t>
  </si>
  <si>
    <t>H19末
資産の簿価
最終値</t>
  </si>
  <si>
    <t>H20末簿価</t>
  </si>
  <si>
    <t>H20の計算均等開始ﾃｰﾌﾞﾙ変更</t>
  </si>
  <si>
    <t>H20償却額
修正</t>
  </si>
  <si>
    <t>H20の償却方法</t>
  </si>
  <si>
    <t>仮計算</t>
  </si>
  <si>
    <t>H2１以後年数</t>
  </si>
  <si>
    <t>今年の償却方法</t>
  </si>
  <si>
    <t>H21以後経過月数年度末でA</t>
  </si>
  <si>
    <t>h21以後残存5%まであと何月必要？B</t>
  </si>
  <si>
    <t>H21耐用年数変更今期通常償却</t>
  </si>
  <si>
    <t>通常最終前年末の簿価</t>
  </si>
  <si>
    <t>通常最終償却額</t>
  </si>
  <si>
    <t>均等開始は何年から</t>
  </si>
  <si>
    <t>均等終了年</t>
  </si>
  <si>
    <t>今年の償却金額</t>
  </si>
  <si>
    <t>今期末簿価</t>
  </si>
  <si>
    <t>新定額法　２００９、平２１年分から償却率（耐用年数）変更　を計算</t>
  </si>
  <si>
    <t>H</t>
  </si>
  <si>
    <t>(200812)H20末までの月数</t>
  </si>
  <si>
    <t>今期償却額</t>
  </si>
  <si>
    <t>H2101からの月数累計</t>
  </si>
  <si>
    <t>H21からの通常償却月額</t>
  </si>
  <si>
    <t>前期末簿価</t>
  </si>
  <si>
    <t>最終回チェック</t>
  </si>
  <si>
    <t>今期償却金額</t>
  </si>
  <si>
    <t xml:space="preserve">暫定最終値 </t>
  </si>
  <si>
    <t>J列事業割合按分償却額</t>
  </si>
  <si>
    <t>最終今期末簿価</t>
  </si>
  <si>
    <t>3年償却
単純に3年で1/3ずつ償却
残存０</t>
  </si>
  <si>
    <t>1回目</t>
  </si>
  <si>
    <t>２回目</t>
  </si>
  <si>
    <t>３回目</t>
  </si>
  <si>
    <t>今年は何回目</t>
  </si>
  <si>
    <t>今年の均等償却額</t>
  </si>
  <si>
    <t>累計均等償却額</t>
  </si>
  <si>
    <t>摘要</t>
  </si>
  <si>
    <t>◎</t>
  </si>
  <si>
    <t>面積
数量</t>
  </si>
  <si>
    <t>未償却残高</t>
  </si>
  <si>
    <t>取</t>
  </si>
  <si>
    <t>償却率</t>
  </si>
  <si>
    <t>（ロ×ハ×ニ）</t>
  </si>
  <si>
    <t>（％）</t>
  </si>
  <si>
    <t>（ト×チ）</t>
  </si>
  <si>
    <t>参照</t>
  </si>
  <si>
    <t>今期償却額</t>
  </si>
  <si>
    <t>期末簿価</t>
  </si>
  <si>
    <t>入力エラー</t>
  </si>
  <si>
    <t>通常最終は何年</t>
  </si>
  <si>
    <t>H20末簿価
又は取得額</t>
  </si>
  <si>
    <t>開発環境　　excel 2003 SP3</t>
  </si>
  <si>
    <t>windowsXP  home</t>
  </si>
  <si>
    <t>2009.3.1～3.20</t>
  </si>
  <si>
    <t>コンセプト</t>
  </si>
  <si>
    <t>以前税務署が配布していた減価償却計算ソフトと同じインターフェースで作成</t>
  </si>
  <si>
    <t>計算式がぎっしり詰まっていますので、行列の追加削除はできません。</t>
  </si>
  <si>
    <t>減価償却資産が１Ｐで収まらない場合は2枚で行ってください。</t>
  </si>
  <si>
    <t>使用方法</t>
  </si>
  <si>
    <t>エクセルメニューの印刷で、提出用の減価償却一覧表が出力されます。</t>
  </si>
  <si>
    <t>資産は昭和1年以降に対応しています。償却年数は2年から100年までです。</t>
  </si>
  <si>
    <t>その他</t>
  </si>
  <si>
    <t>特に難しい使用方法はありませんので自由に気楽にお使いください。</t>
  </si>
  <si>
    <t>いろいろなサンプルで検算しましたが、バグがありましたらメールいただけると助かります。⇒</t>
  </si>
  <si>
    <t>減価償却の改正</t>
  </si>
  <si>
    <t>Ｈ２０迄欄に現行の耐用年数を入れた場合</t>
  </si>
  <si>
    <t>Ｈ１９．３までの取得財産は旧定額法です。取得額に９０％を掛けて残存５％まで償却します。</t>
  </si>
  <si>
    <t>Ｈ２０年からは、既に残存簿価５％に達している資産の均等償却がはじまりました。</t>
  </si>
  <si>
    <t>Ｈ２１は耐用年数が変更になりました。農機具は基本的に7年に統一。そのため、耐用年数入力欄を増設。</t>
  </si>
  <si>
    <t>画面の白の部分に必要な情報を入力します</t>
  </si>
  <si>
    <t>麻生太郎</t>
  </si>
  <si>
    <t>Program By</t>
  </si>
  <si>
    <t>事業
割合%</t>
  </si>
  <si>
    <t>エラー対策</t>
  </si>
  <si>
    <t>非表示</t>
  </si>
  <si>
    <t>居宅</t>
  </si>
  <si>
    <t>s63</t>
  </si>
  <si>
    <t>H9</t>
  </si>
  <si>
    <t>～</t>
  </si>
  <si>
    <t>H19</t>
  </si>
  <si>
    <t>建物の耐用年数</t>
  </si>
  <si>
    <t>自動変更</t>
  </si>
  <si>
    <t>H19.3取得までは旧定額法</t>
  </si>
  <si>
    <t>取得額の９０％が償却の基礎</t>
  </si>
  <si>
    <t>残存５％まで償却</t>
  </si>
  <si>
    <t>　均等償却開始　H20年度から</t>
  </si>
  <si>
    <t>　耐用年数改正　農機は7年へ</t>
  </si>
  <si>
    <t>税制改正図</t>
  </si>
  <si>
    <t>※以上の内容を織り込んだプログラムとなっております。有効にご利用ください。</t>
  </si>
  <si>
    <t>定額法</t>
  </si>
  <si>
    <t>※農業所得申告支援のために作成したものですが、このソフトの使用による損害は</t>
  </si>
  <si>
    <t>　　免責とさせていただきますので、ご理解のうえご使用願います。</t>
  </si>
  <si>
    <t>h.hokari</t>
  </si>
  <si>
    <t>注１：この部分は税務署作成のソフトと照合し数値が一致しております。</t>
  </si>
  <si>
    <t>御礼</t>
  </si>
  <si>
    <t>入力注意</t>
  </si>
  <si>
    <t>　　　　</t>
  </si>
  <si>
    <t>平成２１年以降入力可能です</t>
  </si>
  <si>
    <t>マウスをクリックするとコンボボックスが出ます。建物は◎にします。</t>
  </si>
  <si>
    <t>固定資産の名称入力</t>
  </si>
  <si>
    <t>名前は入れても入れなくても構いません。</t>
  </si>
  <si>
    <t>何年の減価償却を計算しますか？</t>
  </si>
  <si>
    <t>資産の取得年月を入れます。　昭和はｓ６０のように入力、平成は数字のみ。</t>
  </si>
  <si>
    <t>月は１から12を入れます。</t>
  </si>
  <si>
    <t>税制改正によりH21以降は農機具は7年になっています。</t>
  </si>
  <si>
    <t>H20までの耐用年数とH21以降の耐用年数を入れます。</t>
  </si>
  <si>
    <t>H21以降取得の財産はH21以降の欄だけでOK。</t>
  </si>
  <si>
    <t xml:space="preserve">  事業割合は、％単位で入力ください。１００%農業使用の</t>
  </si>
  <si>
    <t>　場合は何も入力しなくても構いません。</t>
  </si>
  <si>
    <t>多くの皆様に配布用するためマクロやＶＢＡを使用しないことにこだわりました。</t>
  </si>
  <si>
    <t>最新版ダウンロード</t>
  </si>
  <si>
    <t>常に修正を加えますので最新版をダウンロードして使用ください</t>
  </si>
  <si>
    <t>H20までの計算用</t>
  </si>
  <si>
    <t>H21以降の計算用</t>
  </si>
  <si>
    <t>2つありますのでご注意ください　</t>
  </si>
  <si>
    <t>ダウンロード</t>
  </si>
  <si>
    <t>cf：7年　0.142→0.143だが0.142を最後まで使用する</t>
  </si>
  <si>
    <t>変更履歴：山賀君のアドバイスにより、H19.4以前取得の償却率は旧表を生かし続ける事の変更</t>
  </si>
  <si>
    <t>　　　　　　　年数計算をdatevalueに変更</t>
  </si>
  <si>
    <t>　　2009.11.24</t>
  </si>
  <si>
    <t>　　③H19.4以降も①の案件は旧table</t>
  </si>
  <si>
    <t>H2１からは率を変更して再計算</t>
  </si>
  <si>
    <t>旧率H19</t>
  </si>
  <si>
    <t>旧率H21</t>
  </si>
  <si>
    <t>建物の考え方　　２１．１１修正</t>
  </si>
  <si>
    <t>平成10年度改正</t>
  </si>
  <si>
    <t>　建物の法定耐用年数が１０％から２０％程度短縮され、最長のものでも５０年とされた。《耐用年数省令》</t>
  </si>
  <si>
    <t>　平成１０年４月１日以後に開始する事業年度に適用する。</t>
  </si>
  <si>
    <t>農業所得においてはH11以後年度計算においてテーブル変更</t>
  </si>
  <si>
    <t>フロー</t>
  </si>
  <si>
    <t>①建物かどうかの判定</t>
  </si>
  <si>
    <t>②取得日によりテーブル判定　　新定額法、旧定額法　　H20.3まで取得は旧定額</t>
  </si>
  <si>
    <t>　　</t>
  </si>
  <si>
    <t>→旧定額でもH11からは新建物テーブル</t>
  </si>
  <si>
    <t>H10前取得建物､H10末までの月数</t>
  </si>
  <si>
    <t>H10末までの残存建物簿価</t>
  </si>
  <si>
    <t>H19.3以前</t>
  </si>
  <si>
    <t>　１２月決算法人の場合の耐用年数の短縮は「平成１０年４月１日以後に開始する事業年度から」の適用であるため、平成１１年１月から開始する事業年度から短縮されます。従って、例のように平成１０年８月に新規取得した建物は平成１０年１月を期首としているため平成１０年１２月末日までの耐用年数は改正前のものが適用となるものの、償却方法は「定額法」しかできないこととなります。</t>
  </si>
  <si>
    <t>例　H8.1取得建物1000万　15年</t>
  </si>
  <si>
    <t>平成11年度から1５年で計算ですが、強制見直しなのでそれ以前H10までは16年0.066で計算（税務署ソフト）</t>
  </si>
  <si>
    <t>H8年</t>
  </si>
  <si>
    <t>H9年</t>
  </si>
  <si>
    <t>H10年</t>
  </si>
  <si>
    <t>H11年</t>
  </si>
  <si>
    <t>年度</t>
  </si>
  <si>
    <t>償却額</t>
  </si>
  <si>
    <t>建物の例１</t>
  </si>
  <si>
    <t>※H10年までは16年として計算する</t>
  </si>
  <si>
    <t>償却率</t>
  </si>
  <si>
    <t>原価償却</t>
  </si>
  <si>
    <t>年末簿価</t>
  </si>
  <si>
    <t>H8</t>
  </si>
  <si>
    <t>H10</t>
  </si>
  <si>
    <t>H11</t>
  </si>
  <si>
    <t>H12</t>
  </si>
  <si>
    <t>H13</t>
  </si>
  <si>
    <t>H14</t>
  </si>
  <si>
    <t>H15</t>
  </si>
  <si>
    <t>H16</t>
  </si>
  <si>
    <t>H17</t>
  </si>
  <si>
    <t>H18</t>
  </si>
  <si>
    <t>H19</t>
  </si>
  <si>
    <t>H20</t>
  </si>
  <si>
    <t>H2１</t>
  </si>
  <si>
    <t>H8年1月取得　現在15年償却　100万円</t>
  </si>
  <si>
    <t>H2２</t>
  </si>
  <si>
    <t>H2３</t>
  </si>
  <si>
    <t>H2４</t>
  </si>
  <si>
    <t>H25</t>
  </si>
  <si>
    <t>均等</t>
  </si>
  <si>
    <t>H26</t>
  </si>
  <si>
    <t>H2７</t>
  </si>
  <si>
    <t>H2８</t>
  </si>
  <si>
    <t>H2９</t>
  </si>
  <si>
    <t>建物の例２</t>
  </si>
  <si>
    <t>H12年1月取得　現在15年償却　100万円</t>
  </si>
  <si>
    <t>※H10年以降取得につき最後まで旧定額</t>
  </si>
  <si>
    <t>H19.3.31以前取得、20年分で償却完了</t>
  </si>
  <si>
    <t>16.10取得　100万　耐用年数4年</t>
  </si>
  <si>
    <t>H21</t>
  </si>
  <si>
    <t>H22</t>
  </si>
  <si>
    <t>H23</t>
  </si>
  <si>
    <t>H24</t>
  </si>
  <si>
    <t>　</t>
  </si>
  <si>
    <t>H19.3.31以前取得、旧定額法でしばらく</t>
  </si>
  <si>
    <t>17.9取得100万円耐用年数8年の機械</t>
  </si>
  <si>
    <t>H27</t>
  </si>
  <si>
    <t>H28</t>
  </si>
  <si>
    <t>H29</t>
  </si>
  <si>
    <t>H30</t>
  </si>
  <si>
    <t>H21年から7年に変更 率は旧表使用</t>
  </si>
  <si>
    <t>H19.４.1以後取得　新定額法</t>
  </si>
  <si>
    <t>19.7取得　100万8年であったがH21より</t>
  </si>
  <si>
    <t>耐用年数変更で7年になる</t>
  </si>
  <si>
    <t>機械</t>
  </si>
  <si>
    <t>建物の場合</t>
  </si>
  <si>
    <t>建物機械</t>
  </si>
  <si>
    <t>１９．４以降取得は新率</t>
  </si>
  <si>
    <t>H１9迄償却率</t>
  </si>
  <si>
    <t>H10迄償却率</t>
  </si>
  <si>
    <t>H10末償却</t>
  </si>
  <si>
    <t>累計</t>
  </si>
  <si>
    <t>H10末まで</t>
  </si>
  <si>
    <t>経過月数</t>
  </si>
  <si>
    <t>全ての資産</t>
  </si>
  <si>
    <t>H19末償却</t>
  </si>
  <si>
    <t>累計試算</t>
  </si>
  <si>
    <t>H19末まで</t>
  </si>
  <si>
    <t>H11→H19</t>
  </si>
  <si>
    <t>取得→H19</t>
  </si>
  <si>
    <t>ちょっとした計算違いなど修正　2009.11.28  Ver213</t>
  </si>
  <si>
    <t>H31</t>
  </si>
  <si>
    <t>H32</t>
  </si>
  <si>
    <t>旧定額は同率継続</t>
  </si>
  <si>
    <t>H21以後率</t>
  </si>
  <si>
    <t>このプログラム作成にあたり応援いただいた高橋さん、山賀さんご協力に感謝いたします。</t>
  </si>
  <si>
    <t>20.7取得　154.2万5年であった</t>
  </si>
  <si>
    <t>H20償却率</t>
  </si>
  <si>
    <t>H20年間償却</t>
  </si>
  <si>
    <t>試算</t>
  </si>
  <si>
    <t>H20末償却</t>
  </si>
  <si>
    <t>残存簿価</t>
  </si>
  <si>
    <t>建物はH10年度より新率</t>
  </si>
  <si>
    <t>償却方法</t>
  </si>
  <si>
    <t>従前耐用年数</t>
  </si>
  <si>
    <t>0905  15Y
1000000</t>
  </si>
  <si>
    <t>1003  17Y
1000000</t>
  </si>
  <si>
    <t>1104  8Y
1080000</t>
  </si>
  <si>
    <t>1903  4Y
1000000</t>
  </si>
  <si>
    <t>2002  5Y
980000</t>
  </si>
  <si>
    <t>1809  7Y
4600000</t>
  </si>
  <si>
    <t>1904  7Y
1000000</t>
  </si>
  <si>
    <t>H10迄は0.062</t>
  </si>
  <si>
    <t>H10は0.055</t>
  </si>
  <si>
    <t>H20より均等償却</t>
  </si>
  <si>
    <t>旧定額H21も7年0.143</t>
  </si>
  <si>
    <t>H19.4以降取得の率採用</t>
  </si>
  <si>
    <t>H9</t>
  </si>
  <si>
    <t>旧定額は</t>
  </si>
  <si>
    <t>H10</t>
  </si>
  <si>
    <t>0.142継続</t>
  </si>
  <si>
    <t>H11</t>
  </si>
  <si>
    <t>H12</t>
  </si>
  <si>
    <t>H13</t>
  </si>
  <si>
    <t>H14</t>
  </si>
  <si>
    <t>H15</t>
  </si>
  <si>
    <t>H16</t>
  </si>
  <si>
    <t>H17</t>
  </si>
  <si>
    <t>H18</t>
  </si>
  <si>
    <t>H30</t>
  </si>
  <si>
    <t>H10.4以降開始年度で変更</t>
  </si>
  <si>
    <t>建物の償却率自動変更はH10までとH11</t>
  </si>
  <si>
    <t>H20以後の旧定額</t>
  </si>
  <si>
    <t>旧定額で21年以降</t>
  </si>
  <si>
    <t>新定額法は耐用年数</t>
  </si>
  <si>
    <t>H21より耐用年数変更</t>
  </si>
  <si>
    <t>以後で分かれる。15年償却はH9までは</t>
  </si>
  <si>
    <t>５％到達は均等償却</t>
  </si>
  <si>
    <t>耐用年数変更なしﾊﾟﾀｰﾝ</t>
  </si>
  <si>
    <t>が新テーブル</t>
  </si>
  <si>
    <t>H21新テーブル</t>
  </si>
  <si>
    <t>自動的に16年償却0.062で計算している</t>
  </si>
  <si>
    <t>旧定額法はテーブル継続</t>
  </si>
  <si>
    <t>★１２月決算に対応　定額法のみ</t>
  </si>
  <si>
    <t>平成21年以降の計算に対応しています。Ｈ２０年以前分は計算していますが表示されません。</t>
  </si>
  <si>
    <t>　　　ただH10.4.1以降開始の事業年度から建物については償却年数変更となっており</t>
  </si>
  <si>
    <t>農業においては１１年度の償却からであるところ税務署ソフトは１０年から年数変更で計算。</t>
  </si>
  <si>
    <t>一部計算結果が違います。　H2０迄１５年と入力した建物→H10までは自動的に１６年の率で計算してます。</t>
  </si>
  <si>
    <t>平成１０年度改正で建物の耐用年数が見直しとなった（一部償却率も変更）　H10.4.1以後の事業年度より→H11より変更</t>
  </si>
  <si>
    <t>19.4以降取得が対象</t>
  </si>
  <si>
    <t>H20末までの償却額累計</t>
  </si>
  <si>
    <t>Ｈ１０改正で建物について耐用年数が少し短縮されました。</t>
  </si>
  <si>
    <t>Ｈ９以前の減価償却率を自動的に適用するようにしてあります。H10.4.1以降開始年度より適用→H11より適用</t>
  </si>
  <si>
    <t>Ｈ１９．３までの取得財産はそれ以後も旧償却率表を使用します。最後まで。</t>
  </si>
  <si>
    <t>Ｈ１９．４以降取得財産は償却の表が新しくなり計算も新定額法。　例：12年は0.083⇒0.084になっています。</t>
  </si>
  <si>
    <t>H10　H11</t>
  </si>
  <si>
    <t>11年度から</t>
  </si>
  <si>
    <t>H20までとH21以降の</t>
  </si>
  <si>
    <t>耐用年数を入力ください</t>
  </si>
  <si>
    <t>決算年度</t>
  </si>
  <si>
    <t>農業所得用ですので課税期間は1月1日から12月31日　12月決算に対応です</t>
  </si>
  <si>
    <t>H19.4以降も旧償却率表で最後まで計算</t>
  </si>
  <si>
    <t>微修正　　　　　　　　　　　　　　　2009.12.10　Ver215</t>
  </si>
  <si>
    <t>本年普通償却率</t>
  </si>
  <si>
    <t>期中廃棄</t>
  </si>
  <si>
    <t>経費算入</t>
  </si>
  <si>
    <t>19.1　100万25％</t>
  </si>
  <si>
    <t>19.6　100万　21.3廃棄</t>
  </si>
  <si>
    <t>20.1　100万25％</t>
  </si>
  <si>
    <t>20.6　100万</t>
  </si>
  <si>
    <t>全部8年</t>
  </si>
  <si>
    <t>21.1　100万　２５％</t>
  </si>
  <si>
    <t>21.6　100万　100％</t>
  </si>
  <si>
    <t>旧定額法</t>
  </si>
  <si>
    <t>※残存簿価は事業割合を考慮せず計算する（税務署）</t>
  </si>
  <si>
    <t>普通償却</t>
  </si>
  <si>
    <t>※経費算入償却額は事業割合を考慮、残存簿価は事業割合考慮無し</t>
  </si>
  <si>
    <t>100%時の簿価</t>
  </si>
  <si>
    <t>を考慮した値</t>
  </si>
  <si>
    <t>期末簿価最終</t>
  </si>
  <si>
    <t>除却考慮</t>
  </si>
  <si>
    <t>BX+BW-BY</t>
  </si>
  <si>
    <t>今期経費償却</t>
  </si>
  <si>
    <t>残存簿価計算修正　　　　　　　20091217　　Ver215</t>
  </si>
  <si>
    <t>均等償却修正</t>
  </si>
  <si>
    <t>20091219　　Ver215</t>
  </si>
  <si>
    <t>残存簿価修正、事業割合考慮で金額範囲を設定</t>
  </si>
  <si>
    <t>均等償却表示修正</t>
  </si>
  <si>
    <t>減価償却費</t>
  </si>
  <si>
    <t>Ｈ２０</t>
  </si>
  <si>
    <t>Ｈ２１</t>
  </si>
  <si>
    <t>・・・・・</t>
  </si>
  <si>
    <t>Ｈ２６</t>
  </si>
  <si>
    <t>Ｈ２７</t>
  </si>
  <si>
    <t>Ｈ２２</t>
  </si>
  <si>
    <t>Ｈ１９</t>
  </si>
  <si>
    <t>・・・・・</t>
  </si>
  <si>
    <t>・・・・・</t>
  </si>
  <si>
    <t>旧テーブルは７年0.142</t>
  </si>
  <si>
    <t>Ｈ２５</t>
  </si>
  <si>
    <t>５％最終</t>
  </si>
  <si>
    <t>Ｈ２７～均等</t>
  </si>
  <si>
    <t>・・・３１年</t>
  </si>
  <si>
    <t>平成19.4.1以後取得の資産　定額法　　20.4.1取得　トラクター300万　7年（平成20年以前は8年）</t>
  </si>
  <si>
    <t>Ｈ２０　3000000*0.125*9/12＝281,250</t>
  </si>
  <si>
    <t>Ｈ２１～Ｈ２６　3000000*0.143=429,000</t>
  </si>
  <si>
    <t>Ｈ２７　１円を残した残存簿価</t>
  </si>
  <si>
    <t>計算　新定額法</t>
  </si>
  <si>
    <t>計算は旧定額法　最後まで旧テーブル</t>
  </si>
  <si>
    <t>Ｈ１９　3000000*0.9*0.125*10/12=281,250</t>
  </si>
  <si>
    <t>H20  3000000*0.9*0.125=387,500</t>
  </si>
  <si>
    <t>H21～Ｈ２５　3000000*0.9*0.142=383,400</t>
  </si>
  <si>
    <t>H27～　５年均等150000/５＝30,000</t>
  </si>
  <si>
    <t>（指針では (150000-1)/5≒30.000です）</t>
  </si>
  <si>
    <t>★H21以降のみ計算結果表示　資産取得は　S１　以後</t>
  </si>
  <si>
    <t>合計が端数の関係で完全位置しない→=intで合計が合致するよう修正20100120 &amp;0121  オプション表示桁数で計算するで端数問題処理</t>
  </si>
  <si>
    <t>H19.4取得ならば0.143</t>
  </si>
  <si>
    <t>平成19.4.1より前に取得の資産　定額法　　19.3.1取得　トラクター300万　7年（平成20年以前は8年）</t>
  </si>
  <si>
    <t>H30</t>
  </si>
  <si>
    <t>新定額資産の期末簿価修正　2/3　Ver21.6に変更   H21取得のものは旧償却率入力パス設定</t>
  </si>
  <si>
    <t>取得資産が10円単位以下の場合の端数整理修正</t>
  </si>
  <si>
    <t>2010.2.8　修正</t>
  </si>
  <si>
    <t>均等償却判定部分の修正　円単位の試算における不具合修正20100211</t>
  </si>
  <si>
    <t>新定額法一部修正　120100228</t>
  </si>
  <si>
    <t>★表の白の部分のみ入力ください、印刷画面プレビューで結果確認,印刷</t>
  </si>
  <si>
    <t>最新版入手</t>
  </si>
  <si>
    <t>更新履歴</t>
  </si>
  <si>
    <t>2011.2.1　Ver23.2</t>
  </si>
  <si>
    <t>2011.2.2　Ver23.3</t>
  </si>
  <si>
    <t>峰岡支店より　今期廃棄月を入力したときの残存簿価訂正</t>
  </si>
  <si>
    <t>上記訂正後の式コピー１行目と２行目忘れ訂正</t>
  </si>
  <si>
    <t>2011.2.3　Ver23.4</t>
  </si>
  <si>
    <t>期中廃棄の場合の残存簿価訂正</t>
  </si>
  <si>
    <t>s38</t>
  </si>
  <si>
    <t>2012.1.25 Ver23.5</t>
  </si>
  <si>
    <t>取得年月日S38が入力できないエラー修正</t>
  </si>
  <si>
    <t>減価償却計算</t>
  </si>
  <si>
    <t>令和</t>
  </si>
  <si>
    <t>H1</t>
  </si>
  <si>
    <t>H2</t>
  </si>
  <si>
    <t>H3</t>
  </si>
  <si>
    <t>H4</t>
  </si>
  <si>
    <t>H5</t>
  </si>
  <si>
    <t>H6</t>
  </si>
  <si>
    <t>H7</t>
  </si>
  <si>
    <t>H8</t>
  </si>
  <si>
    <t>H31</t>
  </si>
  <si>
    <t>2019.4.5　Ver24.0</t>
  </si>
  <si>
    <t>「令和」年号に対応</t>
  </si>
  <si>
    <t>2019.1.31　Ver23.6</t>
  </si>
  <si>
    <t>巻営農センターからの今季経費償却、期末簿価が空白になる件を修正</t>
  </si>
  <si>
    <t>2019.4.22　Ver24.1</t>
  </si>
  <si>
    <t>保苅さんの指摘により取得年の入力メッセージ等を修正</t>
  </si>
  <si>
    <t>【減価償却ソフト　減価償却Ver24.1　の解説】</t>
  </si>
  <si>
    <t xml:space="preserve">* * * * * * * * * * * * * * * * * * * * * * * * * * * * * * * * * * * * * * * * * * * * * * * * * * * * * * * * * * * * * * </t>
  </si>
  <si>
    <t>　①genka従来版とgenka（令和版）を同時に立ち上げる。</t>
  </si>
  <si>
    <t>乾燥機</t>
  </si>
  <si>
    <t>　④genka（令和版）の同じ範囲に「値」として張り付ける。</t>
  </si>
  <si>
    <t>　③選択した部分を右クリックしてコピーする。</t>
  </si>
  <si>
    <t>　②genka従来版のデータ入力した部分（資産の名称～廃棄月の範囲）をマウスでドラッグして選択する。</t>
  </si>
  <si>
    <t>　⑤平成に取得した資産について、取得年の頭に「H」を付ける。（★重要）</t>
  </si>
  <si>
    <t>2019.4.22　genka21従来版から令和版へのデータ移行について、下記の手順で行えます。</t>
  </si>
  <si>
    <t>　（不明の場合は営農企画課担当へお問い合わせください）</t>
  </si>
  <si>
    <t>えだまめ自脱機械</t>
  </si>
  <si>
    <t>トラクター（乗用）</t>
  </si>
  <si>
    <t>グレーダー</t>
  </si>
  <si>
    <t>まめこぎ機械</t>
  </si>
  <si>
    <t>田植機</t>
  </si>
  <si>
    <t>同時マルチ</t>
  </si>
  <si>
    <t>育苗機</t>
  </si>
  <si>
    <t>えだまめ定食機</t>
  </si>
  <si>
    <t>保冷庫</t>
  </si>
  <si>
    <t>キャリアDCQ18</t>
  </si>
  <si>
    <t>普通型コンバイン</t>
  </si>
  <si>
    <t>もみコンテナ</t>
  </si>
  <si>
    <t>ドライブハロー</t>
  </si>
  <si>
    <t>もみすり機</t>
  </si>
  <si>
    <t>機械保管庫</t>
  </si>
  <si>
    <t>枝豆洗浄機</t>
  </si>
  <si>
    <t>ヤンマーテイラYK650</t>
  </si>
  <si>
    <t>育苗ﾊｳｽ</t>
  </si>
  <si>
    <t>溝掘機</t>
  </si>
  <si>
    <t>まいたろう</t>
  </si>
  <si>
    <t>ハウス</t>
  </si>
  <si>
    <t>イセキ散布機</t>
  </si>
  <si>
    <t>作業所　屋根</t>
  </si>
  <si>
    <t>フレコン</t>
  </si>
  <si>
    <t>作業所改良</t>
  </si>
  <si>
    <t>グレンコンテナ</t>
  </si>
  <si>
    <t>H3</t>
  </si>
  <si>
    <t>H2</t>
  </si>
  <si>
    <t>畦塗機</t>
  </si>
  <si>
    <t>クボタ搬送機</t>
  </si>
  <si>
    <t>リフト</t>
  </si>
  <si>
    <t>h31</t>
  </si>
  <si>
    <t>3年償却年数表</t>
  </si>
  <si>
    <t>3年に該当するか</t>
  </si>
  <si>
    <t>計算に入れる回数</t>
  </si>
  <si>
    <t>今年は令和</t>
  </si>
  <si>
    <t>入力値</t>
  </si>
  <si>
    <t>令和年では</t>
  </si>
  <si>
    <t>今回償却回目</t>
  </si>
  <si>
    <t>採用値</t>
  </si>
  <si>
    <t>換算表</t>
  </si>
  <si>
    <t>令和</t>
  </si>
  <si>
    <t>その１</t>
  </si>
  <si>
    <t>その２</t>
  </si>
  <si>
    <t>その３</t>
  </si>
  <si>
    <t>Ver3.0</t>
  </si>
  <si>
    <t>2020.2.15</t>
  </si>
  <si>
    <t>山田太郎</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</si>
</sst>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 "/>
    <numFmt numFmtId="179" formatCode="0.0000_ "/>
    <numFmt numFmtId="180" formatCode="&quot;¥&quot;#,##0.0000;&quot;¥&quot;\-#,##0.0000"/>
    <numFmt numFmtId="181" formatCode="0_);[Red]\(0\)"/>
    <numFmt numFmtId="182" formatCode="#,##0_ "/>
    <numFmt numFmtId="183" formatCode="0_ ;[Red]\-0\ "/>
    <numFmt numFmtId="184" formatCode="#,##0.000;[Red]\-#,##0.000"/>
    <numFmt numFmtId="185" formatCode="#,##0.000_ ;[Red]\-#,##0.000\ "/>
    <numFmt numFmtId="186" formatCode="#,##0_);[Red]\(#,##0\)"/>
    <numFmt numFmtId="187" formatCode="#,##0_ ;[Red]\-#,##0\ "/>
    <numFmt numFmtId="188" formatCode="_ * #,##0.000_ ;_ * \-#,##0.000_ ;_ * &quot;-&quot;???_ ;_ @_ "/>
    <numFmt numFmtId="189" formatCode="0.0%"/>
    <numFmt numFmtId="190" formatCode="0_ "/>
    <numFmt numFmtId="191" formatCode="#,##0.0_ ;[Red]\-#,##0.0\ "/>
    <numFmt numFmtId="192" formatCode="[$-F400]h:mm:ss\ AM/PM"/>
    <numFmt numFmtId="193" formatCode="0.0_ "/>
    <numFmt numFmtId="194" formatCode="&quot;Yes&quot;;&quot;Yes&quot;;&quot;No&quot;"/>
    <numFmt numFmtId="195" formatCode="&quot;True&quot;;&quot;True&quot;;&quot;False&quot;"/>
    <numFmt numFmtId="196" formatCode="&quot;On&quot;;&quot;On&quot;;&quot;Off&quot;"/>
    <numFmt numFmtId="197" formatCode="[$€-2]\ #,##0.00_);[Red]\([$€-2]\ #,##0.00\)"/>
    <numFmt numFmtId="198" formatCode="#,##0.000_);[Red]\(#,##0.000\)"/>
    <numFmt numFmtId="199" formatCode="#,##0.0000_ "/>
    <numFmt numFmtId="200" formatCode="&quot;¥&quot;#,##0.0;[Red]&quot;¥&quot;\-#,##0.0"/>
    <numFmt numFmtId="201" formatCode="&quot;¥&quot;#,##0.000;[Red]&quot;¥&quot;\-#,##0.000"/>
    <numFmt numFmtId="202" formatCode="#,##0.0_);[Red]\(#,##0.0\)"/>
  </numFmts>
  <fonts count="66">
    <font>
      <sz val="11"/>
      <name val="ＭＳ Ｐゴシック"/>
      <family val="3"/>
    </font>
    <font>
      <sz val="6"/>
      <name val="ＭＳ Ｐゴシック"/>
      <family val="3"/>
    </font>
    <font>
      <b/>
      <sz val="11"/>
      <name val="ＭＳ Ｐゴシック"/>
      <family val="3"/>
    </font>
    <font>
      <sz val="9"/>
      <name val="ＭＳ Ｐゴシック"/>
      <family val="3"/>
    </font>
    <font>
      <sz val="9"/>
      <name val="Arial"/>
      <family val="2"/>
    </font>
    <font>
      <sz val="8"/>
      <name val="HG丸ｺﾞｼｯｸM-PRO"/>
      <family val="3"/>
    </font>
    <font>
      <sz val="8"/>
      <name val="ＭＳ Ｐゴシック"/>
      <family val="3"/>
    </font>
    <font>
      <b/>
      <sz val="16"/>
      <name val="ＭＳ Ｐゴシック"/>
      <family val="3"/>
    </font>
    <font>
      <b/>
      <sz val="12"/>
      <name val="ＭＳ Ｐゴシック"/>
      <family val="3"/>
    </font>
    <font>
      <b/>
      <sz val="14"/>
      <color indexed="10"/>
      <name val="ＭＳ Ｐゴシック"/>
      <family val="3"/>
    </font>
    <font>
      <b/>
      <sz val="10"/>
      <name val="ＭＳ Ｐゴシック"/>
      <family val="3"/>
    </font>
    <font>
      <sz val="11"/>
      <color indexed="60"/>
      <name val="ＭＳ Ｐゴシック"/>
      <family val="3"/>
    </font>
    <font>
      <sz val="10"/>
      <name val="ＭＳ Ｐゴシック"/>
      <family val="3"/>
    </font>
    <font>
      <sz val="11"/>
      <color indexed="8"/>
      <name val="ＭＳ Ｐゴシック"/>
      <family val="3"/>
    </font>
    <font>
      <sz val="11"/>
      <color indexed="10"/>
      <name val="ＭＳ Ｐゴシック"/>
      <family val="3"/>
    </font>
    <font>
      <b/>
      <sz val="14"/>
      <name val="ＭＳ Ｐゴシック"/>
      <family val="3"/>
    </font>
    <font>
      <sz val="10"/>
      <color indexed="8"/>
      <name val="ＭＳ Ｐゴシック"/>
      <family val="3"/>
    </font>
    <font>
      <b/>
      <sz val="12"/>
      <color indexed="8"/>
      <name val="ＭＳ Ｐゴシック"/>
      <family val="3"/>
    </font>
    <font>
      <b/>
      <sz val="9"/>
      <name val="ＭＳ Ｐゴシック"/>
      <family val="3"/>
    </font>
    <font>
      <b/>
      <sz val="11"/>
      <color indexed="53"/>
      <name val="ＭＳ Ｐゴシック"/>
      <family val="3"/>
    </font>
    <font>
      <u val="single"/>
      <sz val="11"/>
      <color indexed="12"/>
      <name val="ＭＳ Ｐゴシック"/>
      <family val="3"/>
    </font>
    <font>
      <u val="single"/>
      <sz val="11"/>
      <color indexed="36"/>
      <name val="ＭＳ Ｐゴシック"/>
      <family val="3"/>
    </font>
    <font>
      <sz val="11"/>
      <color indexed="12"/>
      <name val="ＭＳ Ｐゴシック"/>
      <family val="3"/>
    </font>
    <font>
      <sz val="9"/>
      <color indexed="8"/>
      <name val="ＭＳ Ｐゴシック"/>
      <family val="3"/>
    </font>
    <font>
      <b/>
      <sz val="11"/>
      <color indexed="16"/>
      <name val="ＭＳ Ｐゴシック"/>
      <family val="3"/>
    </font>
    <font>
      <sz val="11"/>
      <color indexed="57"/>
      <name val="ＭＳ Ｐゴシック"/>
      <family val="3"/>
    </font>
    <font>
      <sz val="11"/>
      <color indexed="16"/>
      <name val="ＭＳ Ｐゴシック"/>
      <family val="3"/>
    </font>
    <font>
      <b/>
      <sz val="11"/>
      <color indexed="10"/>
      <name val="ＭＳ Ｐゴシック"/>
      <family val="3"/>
    </font>
    <font>
      <sz val="8"/>
      <color indexed="16"/>
      <name val="ＭＳ Ｐゴシック"/>
      <family val="3"/>
    </font>
    <font>
      <sz val="9"/>
      <color indexed="16"/>
      <name val="ＭＳ Ｐゴシック"/>
      <family val="3"/>
    </font>
    <font>
      <u val="single"/>
      <sz val="11"/>
      <color indexed="10"/>
      <name val="ＭＳ Ｐゴシック"/>
      <family val="3"/>
    </font>
    <font>
      <sz val="11"/>
      <color indexed="1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indexed="10"/>
        <bgColor indexed="64"/>
      </patternFill>
    </fill>
    <fill>
      <patternFill patternType="solid">
        <fgColor indexed="14"/>
        <bgColor indexed="64"/>
      </patternFill>
    </fill>
    <fill>
      <patternFill patternType="solid">
        <fgColor indexed="11"/>
        <bgColor indexed="64"/>
      </patternFill>
    </fill>
    <fill>
      <patternFill patternType="solid">
        <fgColor indexed="48"/>
        <bgColor indexed="64"/>
      </patternFill>
    </fill>
    <fill>
      <patternFill patternType="solid">
        <fgColor indexed="13"/>
        <bgColor indexed="64"/>
      </patternFill>
    </fill>
    <fill>
      <patternFill patternType="solid">
        <fgColor indexed="46"/>
        <bgColor indexed="64"/>
      </patternFill>
    </fill>
    <fill>
      <patternFill patternType="solid">
        <fgColor rgb="FFFF00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color indexed="8"/>
      </right>
      <top style="medium"/>
      <bottom>
        <color indexed="63"/>
      </bottom>
    </border>
    <border>
      <left style="thin">
        <color indexed="8"/>
      </left>
      <right style="medium"/>
      <top style="medium"/>
      <bottom>
        <color indexed="63"/>
      </bottom>
    </border>
    <border>
      <left style="medium"/>
      <right style="thin">
        <color indexed="8"/>
      </right>
      <top>
        <color indexed="63"/>
      </top>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color indexed="63"/>
      </top>
      <bottom style="thin">
        <color indexed="8"/>
      </bottom>
    </border>
    <border>
      <left style="medium"/>
      <right style="thin">
        <color indexed="8"/>
      </right>
      <top>
        <color indexed="63"/>
      </top>
      <bottom style="thin">
        <color indexed="52"/>
      </bottom>
    </border>
    <border>
      <left style="thin">
        <color indexed="8"/>
      </left>
      <right style="medium"/>
      <top>
        <color indexed="63"/>
      </top>
      <bottom style="thin">
        <color indexed="52"/>
      </bottom>
    </border>
    <border>
      <left style="medium"/>
      <right style="thin">
        <color indexed="8"/>
      </right>
      <top style="thin">
        <color indexed="52"/>
      </top>
      <bottom>
        <color indexed="63"/>
      </bottom>
    </border>
    <border>
      <left style="thin">
        <color indexed="8"/>
      </left>
      <right style="medium"/>
      <top style="thin">
        <color indexed="52"/>
      </top>
      <bottom>
        <color indexed="63"/>
      </bottom>
    </border>
    <border>
      <left style="medium"/>
      <right style="thin">
        <color indexed="8"/>
      </right>
      <top>
        <color indexed="63"/>
      </top>
      <bottom style="medium"/>
    </border>
    <border>
      <left style="thin">
        <color indexed="8"/>
      </left>
      <right style="medium"/>
      <top>
        <color indexed="63"/>
      </top>
      <bottom style="medium"/>
    </border>
    <border>
      <left style="thin">
        <color indexed="8"/>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52"/>
      </bottom>
    </border>
    <border>
      <left style="thin">
        <color indexed="8"/>
      </left>
      <right>
        <color indexed="63"/>
      </right>
      <top style="thin">
        <color indexed="52"/>
      </top>
      <bottom>
        <color indexed="63"/>
      </bottom>
    </border>
    <border>
      <left style="thin">
        <color indexed="8"/>
      </left>
      <right>
        <color indexed="63"/>
      </right>
      <top>
        <color indexed="63"/>
      </top>
      <bottom style="mediu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hair">
        <color indexed="18"/>
      </left>
      <right style="thin"/>
      <top style="thin"/>
      <bottom style="thin"/>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double"/>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medium"/>
      <right>
        <color indexed="63"/>
      </right>
      <top style="double">
        <color indexed="10"/>
      </top>
      <bottom style="thin"/>
    </border>
    <border>
      <left style="hair">
        <color indexed="18"/>
      </left>
      <right style="thin"/>
      <top style="double">
        <color indexed="10"/>
      </top>
      <bottom style="thin"/>
    </border>
    <border>
      <left style="thin"/>
      <right style="thin"/>
      <top style="double">
        <color indexed="10"/>
      </top>
      <bottom style="thin"/>
    </border>
    <border>
      <left style="thin"/>
      <right style="thin"/>
      <top>
        <color indexed="63"/>
      </top>
      <bottom style="double">
        <color indexed="10"/>
      </bottom>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color indexed="63"/>
      </left>
      <right style="thin"/>
      <top>
        <color indexed="63"/>
      </top>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right style="thick">
        <color indexed="18"/>
      </right>
      <top>
        <color indexed="63"/>
      </top>
      <bottom style="thin"/>
    </border>
    <border>
      <left style="medium"/>
      <right style="thin"/>
      <top style="thin"/>
      <bottom style="double">
        <color indexed="10"/>
      </bottom>
    </border>
    <border>
      <left style="thin"/>
      <right style="thick">
        <color indexed="18"/>
      </right>
      <top style="thin"/>
      <bottom style="double">
        <color indexed="10"/>
      </bottom>
    </border>
    <border>
      <left style="thin"/>
      <right>
        <color indexed="63"/>
      </right>
      <top style="double">
        <color indexed="10"/>
      </top>
      <bottom style="thin"/>
    </border>
    <border>
      <left style="thick">
        <color indexed="18"/>
      </left>
      <right>
        <color indexed="63"/>
      </right>
      <top style="thin"/>
      <bottom style="thin"/>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style="thick">
        <color indexed="18"/>
      </top>
      <bottom>
        <color indexed="63"/>
      </bottom>
    </border>
    <border>
      <left style="thin"/>
      <right>
        <color indexed="63"/>
      </right>
      <top>
        <color indexed="63"/>
      </top>
      <bottom style="double">
        <color indexed="10"/>
      </bottom>
    </border>
    <border>
      <left style="thin"/>
      <right>
        <color indexed="63"/>
      </right>
      <top style="thick">
        <color indexed="1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double">
        <color indexed="10"/>
      </bottom>
    </border>
    <border>
      <left style="thin"/>
      <right style="medium"/>
      <top style="thin"/>
      <bottom style="thin"/>
    </border>
    <border>
      <left style="medium"/>
      <right>
        <color indexed="63"/>
      </right>
      <top>
        <color indexed="63"/>
      </top>
      <bottom style="thin"/>
    </border>
    <border>
      <left style="thin"/>
      <right>
        <color indexed="63"/>
      </right>
      <top style="thin"/>
      <bottom style="medium"/>
    </border>
    <border>
      <left style="thin"/>
      <right style="thick">
        <color indexed="18"/>
      </right>
      <top style="thin"/>
      <bottom style="medium"/>
    </border>
    <border>
      <left style="medium"/>
      <right style="thin"/>
      <top style="thin"/>
      <bottom style="medium"/>
    </border>
    <border>
      <left style="thin"/>
      <right style="medium"/>
      <top style="thin"/>
      <bottom style="medium"/>
    </border>
    <border>
      <left>
        <color indexed="63"/>
      </left>
      <right style="medium"/>
      <top>
        <color indexed="63"/>
      </top>
      <bottom style="double"/>
    </border>
    <border>
      <left>
        <color indexed="63"/>
      </left>
      <right style="medium"/>
      <top style="thin"/>
      <bottom>
        <color indexed="63"/>
      </bottom>
    </border>
    <border>
      <left>
        <color indexed="63"/>
      </left>
      <right style="medium"/>
      <top style="medium"/>
      <bottom style="medium"/>
    </border>
    <border>
      <left style="medium"/>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thin"/>
      <right>
        <color indexed="63"/>
      </right>
      <top style="thick">
        <color indexed="32"/>
      </top>
      <bottom style="thin"/>
    </border>
    <border>
      <left>
        <color indexed="63"/>
      </left>
      <right style="thin"/>
      <top style="thick">
        <color indexed="32"/>
      </top>
      <bottom style="thin"/>
    </border>
    <border>
      <left style="thin"/>
      <right style="thin"/>
      <top style="thick">
        <color indexed="1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18"/>
      </left>
      <right style="thin"/>
      <top style="thick">
        <color indexed="18"/>
      </top>
      <bottom>
        <color indexed="63"/>
      </bottom>
    </border>
    <border>
      <left style="hair">
        <color indexed="18"/>
      </left>
      <right style="thin"/>
      <top>
        <color indexed="63"/>
      </top>
      <bottom style="double">
        <color indexed="10"/>
      </bottom>
    </border>
    <border>
      <left>
        <color indexed="63"/>
      </left>
      <right style="thin"/>
      <top style="thick">
        <color indexed="18"/>
      </top>
      <bottom>
        <color indexed="63"/>
      </bottom>
    </border>
    <border>
      <left>
        <color indexed="63"/>
      </left>
      <right style="thin"/>
      <top>
        <color indexed="63"/>
      </top>
      <bottom style="double">
        <color indexed="10"/>
      </bottom>
    </border>
    <border>
      <left style="medium"/>
      <right style="thin"/>
      <top style="thick">
        <color indexed="18"/>
      </top>
      <bottom style="thin"/>
    </border>
    <border>
      <left style="thin"/>
      <right style="thick">
        <color indexed="18"/>
      </right>
      <top style="thick">
        <color indexed="18"/>
      </top>
      <bottom style="thin"/>
    </border>
    <border>
      <left style="medium"/>
      <right style="thin"/>
      <top>
        <color indexed="63"/>
      </top>
      <bottom style="double">
        <color indexed="10"/>
      </bottom>
    </border>
    <border>
      <left style="hair">
        <color indexed="18"/>
      </left>
      <right style="thin"/>
      <top style="medium"/>
      <bottom>
        <color indexed="63"/>
      </bottom>
    </border>
    <border>
      <left style="thick">
        <color indexed="18"/>
      </left>
      <right style="thin"/>
      <top style="thick">
        <color indexed="18"/>
      </top>
      <bottom>
        <color indexed="63"/>
      </bottom>
    </border>
    <border>
      <left style="thick">
        <color indexed="18"/>
      </left>
      <right style="thin"/>
      <top>
        <color indexed="63"/>
      </top>
      <bottom style="double">
        <color indexed="10"/>
      </bottom>
    </border>
    <border>
      <left style="thin"/>
      <right>
        <color indexed="63"/>
      </right>
      <top style="thick">
        <color indexed="18"/>
      </top>
      <bottom style="thin"/>
    </border>
    <border>
      <left>
        <color indexed="63"/>
      </left>
      <right style="thin"/>
      <top style="thick">
        <color indexed="18"/>
      </top>
      <bottom style="thin"/>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1" fillId="0" borderId="0" applyNumberFormat="0" applyFill="0" applyBorder="0" applyAlignment="0" applyProtection="0"/>
    <xf numFmtId="0" fontId="63" fillId="32" borderId="0" applyNumberFormat="0" applyBorder="0" applyAlignment="0" applyProtection="0"/>
  </cellStyleXfs>
  <cellXfs count="490">
    <xf numFmtId="0" fontId="0" fillId="0" borderId="0" xfId="0" applyAlignment="1">
      <alignment vertical="center"/>
    </xf>
    <xf numFmtId="0" fontId="0" fillId="0" borderId="10" xfId="0" applyBorder="1" applyAlignment="1">
      <alignment vertical="center"/>
    </xf>
    <xf numFmtId="5" fontId="0" fillId="0" borderId="10" xfId="0" applyNumberFormat="1" applyBorder="1" applyAlignment="1">
      <alignment vertical="center"/>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3" fillId="0" borderId="0" xfId="0" applyFont="1" applyBorder="1" applyAlignment="1" applyProtection="1">
      <alignment vertical="center"/>
      <protection hidden="1"/>
    </xf>
    <xf numFmtId="0" fontId="4" fillId="0" borderId="11" xfId="0" applyFont="1" applyBorder="1" applyAlignment="1" applyProtection="1">
      <alignment horizontal="center" vertical="top" wrapText="1"/>
      <protection hidden="1"/>
    </xf>
    <xf numFmtId="0" fontId="4" fillId="0" borderId="12" xfId="0" applyFont="1" applyBorder="1" applyAlignment="1" applyProtection="1">
      <alignment horizontal="center" vertical="top" wrapText="1"/>
      <protection hidden="1"/>
    </xf>
    <xf numFmtId="0" fontId="4" fillId="0" borderId="13" xfId="0" applyFont="1" applyBorder="1" applyAlignment="1" applyProtection="1">
      <alignment horizontal="center" vertical="top" wrapText="1"/>
      <protection hidden="1"/>
    </xf>
    <xf numFmtId="0" fontId="4" fillId="0" borderId="14" xfId="0" applyFont="1" applyBorder="1" applyAlignment="1" applyProtection="1">
      <alignment horizontal="center" vertical="top" wrapText="1"/>
      <protection hidden="1"/>
    </xf>
    <xf numFmtId="0" fontId="4" fillId="0" borderId="15" xfId="0" applyFont="1" applyBorder="1" applyAlignment="1" applyProtection="1">
      <alignment horizontal="center" vertical="top" wrapText="1"/>
      <protection hidden="1"/>
    </xf>
    <xf numFmtId="0" fontId="4" fillId="0" borderId="16" xfId="0" applyFont="1" applyBorder="1" applyAlignment="1" applyProtection="1">
      <alignment horizontal="center" vertical="top" wrapText="1"/>
      <protection hidden="1"/>
    </xf>
    <xf numFmtId="0" fontId="4" fillId="0" borderId="17" xfId="0" applyFont="1" applyBorder="1" applyAlignment="1" applyProtection="1">
      <alignment horizontal="center" vertical="top" wrapText="1"/>
      <protection hidden="1"/>
    </xf>
    <xf numFmtId="0" fontId="4" fillId="0" borderId="18" xfId="0" applyFont="1" applyBorder="1" applyAlignment="1" applyProtection="1">
      <alignment horizontal="center" vertical="top" wrapText="1"/>
      <protection hidden="1"/>
    </xf>
    <xf numFmtId="0" fontId="4" fillId="0" borderId="19" xfId="0" applyFont="1" applyBorder="1" applyAlignment="1" applyProtection="1">
      <alignment horizontal="center" vertical="top" wrapText="1"/>
      <protection hidden="1"/>
    </xf>
    <xf numFmtId="0" fontId="4" fillId="0" borderId="20" xfId="0" applyFont="1" applyBorder="1" applyAlignment="1" applyProtection="1">
      <alignment horizontal="center" vertical="top" wrapText="1"/>
      <protection hidden="1"/>
    </xf>
    <xf numFmtId="0" fontId="4" fillId="0" borderId="21" xfId="0" applyFont="1" applyBorder="1" applyAlignment="1" applyProtection="1">
      <alignment horizontal="center" vertical="center" wrapText="1"/>
      <protection hidden="1"/>
    </xf>
    <xf numFmtId="0" fontId="4" fillId="0" borderId="22" xfId="0" applyFont="1" applyBorder="1" applyAlignment="1" applyProtection="1">
      <alignment horizontal="center" vertical="top" wrapText="1"/>
      <protection hidden="1"/>
    </xf>
    <xf numFmtId="0" fontId="4" fillId="0" borderId="13"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1" xfId="0" applyFont="1" applyBorder="1" applyAlignment="1" applyProtection="1">
      <alignment horizontal="center" vertical="top" wrapText="1"/>
      <protection hidden="1"/>
    </xf>
    <xf numFmtId="0" fontId="4" fillId="0" borderId="23" xfId="0" applyFont="1" applyBorder="1" applyAlignment="1" applyProtection="1">
      <alignment horizontal="center" vertical="top" wrapText="1"/>
      <protection hidden="1"/>
    </xf>
    <xf numFmtId="0" fontId="4" fillId="0" borderId="24" xfId="0" applyFont="1" applyBorder="1" applyAlignment="1" applyProtection="1">
      <alignment horizontal="center" vertical="top" wrapText="1"/>
      <protection hidden="1"/>
    </xf>
    <xf numFmtId="0" fontId="4" fillId="0" borderId="25" xfId="0" applyFont="1" applyBorder="1" applyAlignment="1" applyProtection="1">
      <alignment horizontal="center" vertical="top" wrapText="1"/>
      <protection hidden="1"/>
    </xf>
    <xf numFmtId="0" fontId="4" fillId="0" borderId="26" xfId="0" applyFont="1" applyBorder="1" applyAlignment="1" applyProtection="1">
      <alignment horizontal="center" vertical="top" wrapText="1"/>
      <protection hidden="1"/>
    </xf>
    <xf numFmtId="0" fontId="4" fillId="0" borderId="27" xfId="0" applyFont="1" applyBorder="1" applyAlignment="1" applyProtection="1">
      <alignment horizontal="center" vertical="top" wrapText="1"/>
      <protection hidden="1"/>
    </xf>
    <xf numFmtId="0" fontId="4" fillId="0" borderId="28" xfId="0" applyFont="1" applyBorder="1" applyAlignment="1" applyProtection="1">
      <alignment horizontal="center" vertical="top" wrapText="1"/>
      <protection hidden="1"/>
    </xf>
    <xf numFmtId="0" fontId="4" fillId="0" borderId="29" xfId="0" applyFont="1" applyBorder="1" applyAlignment="1" applyProtection="1">
      <alignment horizontal="center" vertical="top" wrapText="1"/>
      <protection hidden="1"/>
    </xf>
    <xf numFmtId="0" fontId="4" fillId="0" borderId="30" xfId="0" applyFont="1" applyBorder="1" applyAlignment="1" applyProtection="1">
      <alignment horizontal="center" vertical="top" wrapText="1"/>
      <protection hidden="1"/>
    </xf>
    <xf numFmtId="0" fontId="4" fillId="0" borderId="31" xfId="0" applyFont="1" applyBorder="1" applyAlignment="1" applyProtection="1">
      <alignment horizontal="center" vertical="top" wrapText="1"/>
      <protection hidden="1"/>
    </xf>
    <xf numFmtId="179" fontId="4" fillId="0" borderId="10" xfId="0" applyNumberFormat="1" applyFont="1" applyBorder="1" applyAlignment="1" applyProtection="1">
      <alignment vertical="top" wrapText="1"/>
      <protection hidden="1"/>
    </xf>
    <xf numFmtId="0" fontId="0" fillId="0" borderId="32" xfId="0" applyBorder="1" applyAlignment="1" applyProtection="1">
      <alignment vertical="center"/>
      <protection hidden="1"/>
    </xf>
    <xf numFmtId="0" fontId="0" fillId="0" borderId="25" xfId="0" applyBorder="1" applyAlignment="1" applyProtection="1">
      <alignment horizontal="center" vertical="top" wrapText="1"/>
      <protection hidden="1"/>
    </xf>
    <xf numFmtId="0" fontId="5" fillId="0" borderId="33" xfId="0" applyFont="1" applyBorder="1" applyAlignment="1" applyProtection="1">
      <alignment vertical="top" wrapText="1"/>
      <protection hidden="1"/>
    </xf>
    <xf numFmtId="0" fontId="5" fillId="0" borderId="33" xfId="0" applyFont="1" applyBorder="1" applyAlignment="1">
      <alignment vertical="center"/>
    </xf>
    <xf numFmtId="0" fontId="5" fillId="0" borderId="34" xfId="0" applyFont="1" applyBorder="1" applyAlignment="1">
      <alignment vertical="center"/>
    </xf>
    <xf numFmtId="0" fontId="0" fillId="0" borderId="35" xfId="0" applyBorder="1" applyAlignment="1" applyProtection="1">
      <alignment vertical="center"/>
      <protection hidden="1"/>
    </xf>
    <xf numFmtId="0" fontId="3" fillId="33" borderId="0" xfId="0" applyFont="1" applyFill="1" applyBorder="1" applyAlignment="1" applyProtection="1">
      <alignment vertical="center"/>
      <protection hidden="1"/>
    </xf>
    <xf numFmtId="0" fontId="4" fillId="33" borderId="36" xfId="0" applyFont="1" applyFill="1" applyBorder="1" applyAlignment="1" applyProtection="1">
      <alignment horizontal="center" vertical="top" wrapText="1"/>
      <protection hidden="1"/>
    </xf>
    <xf numFmtId="0" fontId="4" fillId="33" borderId="37" xfId="0" applyFont="1" applyFill="1" applyBorder="1" applyAlignment="1" applyProtection="1">
      <alignment horizontal="center" vertical="top" wrapText="1"/>
      <protection hidden="1"/>
    </xf>
    <xf numFmtId="0" fontId="4" fillId="33" borderId="38" xfId="0" applyFont="1" applyFill="1" applyBorder="1" applyAlignment="1" applyProtection="1">
      <alignment horizontal="center" vertical="top" wrapText="1"/>
      <protection hidden="1"/>
    </xf>
    <xf numFmtId="0" fontId="4" fillId="33" borderId="39" xfId="0" applyFont="1" applyFill="1" applyBorder="1" applyAlignment="1" applyProtection="1">
      <alignment horizontal="center" vertical="top" wrapText="1"/>
      <protection hidden="1"/>
    </xf>
    <xf numFmtId="0" fontId="3" fillId="33" borderId="38" xfId="0" applyFont="1" applyFill="1" applyBorder="1" applyAlignment="1" applyProtection="1">
      <alignment horizontal="center" vertical="center"/>
      <protection hidden="1"/>
    </xf>
    <xf numFmtId="0" fontId="3" fillId="33" borderId="37" xfId="0" applyFont="1" applyFill="1" applyBorder="1" applyAlignment="1" applyProtection="1">
      <alignment horizontal="center" vertical="center"/>
      <protection hidden="1"/>
    </xf>
    <xf numFmtId="0" fontId="3" fillId="33" borderId="40" xfId="0"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3" fillId="33" borderId="42" xfId="0" applyFont="1" applyFill="1" applyBorder="1" applyAlignment="1" applyProtection="1">
      <alignment vertical="center"/>
      <protection hidden="1"/>
    </xf>
    <xf numFmtId="0" fontId="3" fillId="33" borderId="43" xfId="0" applyFont="1" applyFill="1" applyBorder="1" applyAlignment="1" applyProtection="1">
      <alignment vertical="center"/>
      <protection hidden="1"/>
    </xf>
    <xf numFmtId="0" fontId="6" fillId="0" borderId="0" xfId="0" applyFont="1" applyAlignment="1">
      <alignment vertical="center"/>
    </xf>
    <xf numFmtId="0" fontId="6" fillId="0" borderId="0" xfId="0" applyFont="1" applyBorder="1" applyAlignment="1" applyProtection="1">
      <alignment vertical="center"/>
      <protection hidden="1"/>
    </xf>
    <xf numFmtId="0" fontId="6" fillId="0" borderId="0" xfId="0" applyFont="1" applyFill="1" applyBorder="1" applyAlignment="1" applyProtection="1">
      <alignment vertical="center"/>
      <protection hidden="1"/>
    </xf>
    <xf numFmtId="179" fontId="0" fillId="0" borderId="0" xfId="0" applyNumberFormat="1" applyAlignment="1">
      <alignment vertical="center"/>
    </xf>
    <xf numFmtId="0" fontId="6" fillId="0" borderId="10" xfId="0" applyFont="1" applyBorder="1" applyAlignment="1">
      <alignment vertical="center"/>
    </xf>
    <xf numFmtId="182" fontId="6" fillId="0" borderId="10" xfId="0" applyNumberFormat="1" applyFont="1" applyBorder="1" applyAlignment="1">
      <alignment vertical="center"/>
    </xf>
    <xf numFmtId="181" fontId="6" fillId="0" borderId="10" xfId="0" applyNumberFormat="1" applyFont="1" applyBorder="1" applyAlignment="1">
      <alignment vertical="center"/>
    </xf>
    <xf numFmtId="0" fontId="0" fillId="34" borderId="0" xfId="0" applyFill="1" applyAlignment="1" applyProtection="1">
      <alignment vertical="center"/>
      <protection hidden="1"/>
    </xf>
    <xf numFmtId="0" fontId="0" fillId="34" borderId="0" xfId="0" applyFill="1" applyBorder="1" applyAlignment="1" applyProtection="1">
      <alignment vertical="center"/>
      <protection hidden="1"/>
    </xf>
    <xf numFmtId="0" fontId="12" fillId="35" borderId="44" xfId="0" applyFont="1" applyFill="1" applyBorder="1" applyAlignment="1" applyProtection="1">
      <alignment vertical="center" shrinkToFit="1"/>
      <protection locked="0"/>
    </xf>
    <xf numFmtId="0" fontId="3" fillId="35" borderId="45" xfId="0" applyFont="1" applyFill="1" applyBorder="1" applyAlignment="1" applyProtection="1">
      <alignment horizontal="center" textRotation="255" shrinkToFit="1"/>
      <protection locked="0"/>
    </xf>
    <xf numFmtId="0" fontId="0" fillId="35" borderId="10" xfId="0" applyFill="1" applyBorder="1" applyAlignment="1" applyProtection="1">
      <alignment shrinkToFit="1"/>
      <protection locked="0"/>
    </xf>
    <xf numFmtId="0" fontId="0" fillId="35" borderId="10" xfId="0" applyFill="1" applyBorder="1" applyAlignment="1" applyProtection="1">
      <alignment/>
      <protection locked="0"/>
    </xf>
    <xf numFmtId="6" fontId="0" fillId="35" borderId="10" xfId="49" applyNumberFormat="1" applyFill="1" applyBorder="1" applyAlignment="1" applyProtection="1">
      <alignment horizontal="right" shrinkToFit="1"/>
      <protection locked="0"/>
    </xf>
    <xf numFmtId="0" fontId="13" fillId="35" borderId="10" xfId="0" applyFont="1" applyFill="1" applyBorder="1" applyAlignment="1" applyProtection="1">
      <alignment vertical="center" shrinkToFit="1"/>
      <protection locked="0"/>
    </xf>
    <xf numFmtId="9" fontId="0" fillId="35" borderId="10" xfId="0" applyNumberFormat="1" applyFill="1" applyBorder="1" applyAlignment="1" applyProtection="1">
      <alignment horizontal="right" vertical="center" shrinkToFit="1"/>
      <protection locked="0"/>
    </xf>
    <xf numFmtId="0" fontId="0" fillId="35" borderId="10" xfId="0" applyFill="1" applyBorder="1" applyAlignment="1" applyProtection="1">
      <alignment vertical="center" shrinkToFit="1"/>
      <protection locked="0"/>
    </xf>
    <xf numFmtId="9" fontId="13" fillId="35" borderId="10" xfId="0" applyNumberFormat="1" applyFont="1" applyFill="1" applyBorder="1" applyAlignment="1" applyProtection="1">
      <alignment horizontal="right" vertical="center" shrinkToFit="1"/>
      <protection locked="0"/>
    </xf>
    <xf numFmtId="0" fontId="15" fillId="34" borderId="0" xfId="0" applyFont="1" applyFill="1" applyBorder="1" applyAlignment="1" applyProtection="1">
      <alignment horizontal="left"/>
      <protection hidden="1"/>
    </xf>
    <xf numFmtId="0" fontId="0" fillId="34" borderId="46" xfId="0" applyFill="1" applyBorder="1" applyAlignment="1" applyProtection="1">
      <alignment/>
      <protection hidden="1"/>
    </xf>
    <xf numFmtId="0" fontId="0" fillId="34" borderId="47" xfId="0" applyFill="1" applyBorder="1" applyAlignment="1" applyProtection="1">
      <alignment vertical="center"/>
      <protection hidden="1"/>
    </xf>
    <xf numFmtId="0" fontId="0" fillId="34" borderId="48" xfId="0" applyFill="1" applyBorder="1" applyAlignment="1" applyProtection="1">
      <alignment horizontal="center"/>
      <protection hidden="1"/>
    </xf>
    <xf numFmtId="0" fontId="0" fillId="34" borderId="49" xfId="0" applyFill="1" applyBorder="1" applyAlignment="1" applyProtection="1">
      <alignment vertical="center"/>
      <protection hidden="1"/>
    </xf>
    <xf numFmtId="0" fontId="0" fillId="34" borderId="50" xfId="0" applyFill="1" applyBorder="1" applyAlignment="1" applyProtection="1">
      <alignment vertical="center"/>
      <protection hidden="1"/>
    </xf>
    <xf numFmtId="0" fontId="16" fillId="0" borderId="10" xfId="0" applyFont="1" applyBorder="1" applyAlignment="1" applyProtection="1">
      <alignment vertical="center" shrinkToFit="1"/>
      <protection hidden="1"/>
    </xf>
    <xf numFmtId="0" fontId="0" fillId="34" borderId="51" xfId="0" applyFill="1" applyBorder="1" applyAlignment="1" applyProtection="1">
      <alignment vertical="center"/>
      <protection hidden="1"/>
    </xf>
    <xf numFmtId="0" fontId="13" fillId="0" borderId="10" xfId="0" applyFont="1" applyBorder="1" applyAlignment="1" applyProtection="1">
      <alignment horizontal="right"/>
      <protection hidden="1"/>
    </xf>
    <xf numFmtId="3" fontId="13" fillId="0" borderId="10" xfId="0" applyNumberFormat="1" applyFont="1" applyBorder="1" applyAlignment="1" applyProtection="1">
      <alignment vertical="center" shrinkToFit="1"/>
      <protection hidden="1"/>
    </xf>
    <xf numFmtId="0" fontId="13" fillId="0" borderId="10" xfId="0" applyFont="1" applyBorder="1" applyAlignment="1" applyProtection="1">
      <alignment horizontal="center" vertical="center"/>
      <protection hidden="1"/>
    </xf>
    <xf numFmtId="0" fontId="13" fillId="0" borderId="51" xfId="0" applyFont="1" applyBorder="1" applyAlignment="1" applyProtection="1">
      <alignment horizontal="right"/>
      <protection hidden="1"/>
    </xf>
    <xf numFmtId="38" fontId="0" fillId="34" borderId="52" xfId="49" applyFont="1" applyFill="1" applyBorder="1" applyAlignment="1" applyProtection="1">
      <alignment/>
      <protection hidden="1"/>
    </xf>
    <xf numFmtId="9" fontId="13" fillId="0" borderId="10" xfId="0" applyNumberFormat="1" applyFont="1" applyBorder="1" applyAlignment="1" applyProtection="1">
      <alignment horizontal="right" vertical="center"/>
      <protection hidden="1"/>
    </xf>
    <xf numFmtId="0" fontId="0" fillId="34" borderId="53" xfId="0" applyFill="1" applyBorder="1" applyAlignment="1" applyProtection="1">
      <alignment vertical="center"/>
      <protection hidden="1"/>
    </xf>
    <xf numFmtId="0" fontId="13" fillId="0" borderId="54" xfId="0" applyFont="1" applyBorder="1" applyAlignment="1" applyProtection="1">
      <alignment horizontal="right"/>
      <protection hidden="1"/>
    </xf>
    <xf numFmtId="0" fontId="13" fillId="0" borderId="54" xfId="0" applyFont="1" applyBorder="1" applyAlignment="1" applyProtection="1">
      <alignment vertical="center"/>
      <protection hidden="1"/>
    </xf>
    <xf numFmtId="3" fontId="13" fillId="0" borderId="54" xfId="0" applyNumberFormat="1" applyFont="1" applyBorder="1" applyAlignment="1" applyProtection="1">
      <alignment vertical="center" shrinkToFit="1"/>
      <protection hidden="1"/>
    </xf>
    <xf numFmtId="0" fontId="13" fillId="0" borderId="54" xfId="0" applyFont="1" applyBorder="1" applyAlignment="1" applyProtection="1">
      <alignment horizontal="center" vertical="center"/>
      <protection hidden="1"/>
    </xf>
    <xf numFmtId="9" fontId="13" fillId="0" borderId="54" xfId="0" applyNumberFormat="1" applyFont="1" applyBorder="1" applyAlignment="1" applyProtection="1">
      <alignment horizontal="right" vertical="center"/>
      <protection hidden="1"/>
    </xf>
    <xf numFmtId="188" fontId="13" fillId="0" borderId="54" xfId="0" applyNumberFormat="1" applyFont="1" applyBorder="1" applyAlignment="1" applyProtection="1">
      <alignment horizontal="center" vertical="center"/>
      <protection hidden="1"/>
    </xf>
    <xf numFmtId="0" fontId="13" fillId="0" borderId="53" xfId="0" applyFont="1" applyBorder="1" applyAlignment="1" applyProtection="1">
      <alignment horizontal="right"/>
      <protection hidden="1"/>
    </xf>
    <xf numFmtId="0" fontId="0" fillId="34" borderId="55" xfId="0" applyFill="1" applyBorder="1" applyAlignment="1" applyProtection="1">
      <alignment vertical="center"/>
      <protection hidden="1"/>
    </xf>
    <xf numFmtId="0" fontId="0" fillId="34" borderId="56" xfId="0" applyFill="1" applyBorder="1" applyAlignment="1" applyProtection="1">
      <alignment vertical="center"/>
      <protection hidden="1"/>
    </xf>
    <xf numFmtId="0" fontId="17" fillId="0" borderId="57" xfId="0" applyFont="1" applyBorder="1" applyAlignment="1" applyProtection="1">
      <alignment horizontal="center" vertical="center"/>
      <protection hidden="1"/>
    </xf>
    <xf numFmtId="0" fontId="0" fillId="34" borderId="57" xfId="0" applyFill="1" applyBorder="1" applyAlignment="1" applyProtection="1">
      <alignment vertical="center"/>
      <protection hidden="1"/>
    </xf>
    <xf numFmtId="0" fontId="13" fillId="0" borderId="57" xfId="0" applyFont="1" applyBorder="1" applyAlignment="1" applyProtection="1">
      <alignment horizontal="right"/>
      <protection hidden="1"/>
    </xf>
    <xf numFmtId="0" fontId="13" fillId="0" borderId="57" xfId="0" applyFont="1" applyBorder="1" applyAlignment="1" applyProtection="1">
      <alignment vertical="center"/>
      <protection hidden="1"/>
    </xf>
    <xf numFmtId="3" fontId="13" fillId="0" borderId="57" xfId="0" applyNumberFormat="1" applyFont="1" applyBorder="1" applyAlignment="1" applyProtection="1">
      <alignment vertical="center" shrinkToFit="1"/>
      <protection hidden="1"/>
    </xf>
    <xf numFmtId="0" fontId="13" fillId="0" borderId="57" xfId="0" applyFont="1" applyBorder="1" applyAlignment="1" applyProtection="1">
      <alignment horizontal="center" vertical="center"/>
      <protection hidden="1"/>
    </xf>
    <xf numFmtId="188" fontId="13" fillId="0" borderId="57" xfId="0" applyNumberFormat="1" applyFont="1" applyBorder="1" applyAlignment="1" applyProtection="1">
      <alignment vertical="center"/>
      <protection hidden="1"/>
    </xf>
    <xf numFmtId="0" fontId="13" fillId="0" borderId="58" xfId="0" applyFont="1" applyBorder="1" applyAlignment="1" applyProtection="1">
      <alignment horizontal="right"/>
      <protection hidden="1"/>
    </xf>
    <xf numFmtId="38" fontId="0" fillId="34" borderId="59" xfId="49" applyFont="1" applyFill="1" applyBorder="1" applyAlignment="1" applyProtection="1" quotePrefix="1">
      <alignment/>
      <protection hidden="1"/>
    </xf>
    <xf numFmtId="0" fontId="0" fillId="34" borderId="0" xfId="0" applyFill="1" applyBorder="1" applyAlignment="1" applyProtection="1">
      <alignment vertical="center"/>
      <protection hidden="1"/>
    </xf>
    <xf numFmtId="0" fontId="8" fillId="34" borderId="0" xfId="0" applyFont="1" applyFill="1" applyBorder="1" applyAlignment="1" applyProtection="1">
      <alignment horizontal="center" vertical="center"/>
      <protection hidden="1"/>
    </xf>
    <xf numFmtId="0" fontId="0" fillId="34" borderId="0" xfId="0" applyFill="1" applyAlignment="1" applyProtection="1">
      <alignment horizontal="center" vertical="center"/>
      <protection hidden="1"/>
    </xf>
    <xf numFmtId="0" fontId="0" fillId="0" borderId="60" xfId="0" applyBorder="1" applyAlignment="1" applyProtection="1">
      <alignment vertical="center"/>
      <protection hidden="1"/>
    </xf>
    <xf numFmtId="0" fontId="12" fillId="35" borderId="61" xfId="0" applyFont="1" applyFill="1" applyBorder="1" applyAlignment="1" applyProtection="1">
      <alignment vertical="center" shrinkToFit="1"/>
      <protection locked="0"/>
    </xf>
    <xf numFmtId="0" fontId="3" fillId="35" borderId="62" xfId="0" applyFont="1" applyFill="1" applyBorder="1" applyAlignment="1" applyProtection="1">
      <alignment horizontal="center" textRotation="255" shrinkToFit="1"/>
      <protection locked="0"/>
    </xf>
    <xf numFmtId="0" fontId="0" fillId="35" borderId="63" xfId="0" applyFill="1" applyBorder="1" applyAlignment="1" applyProtection="1">
      <alignment shrinkToFit="1"/>
      <protection locked="0"/>
    </xf>
    <xf numFmtId="0" fontId="0" fillId="35" borderId="63" xfId="0" applyFill="1" applyBorder="1" applyAlignment="1" applyProtection="1">
      <alignment/>
      <protection locked="0"/>
    </xf>
    <xf numFmtId="6" fontId="0" fillId="35" borderId="63" xfId="49" applyNumberFormat="1" applyFill="1" applyBorder="1" applyAlignment="1" applyProtection="1">
      <alignment horizontal="right" shrinkToFit="1"/>
      <protection locked="0"/>
    </xf>
    <xf numFmtId="0" fontId="0" fillId="35" borderId="63" xfId="49" applyNumberFormat="1" applyFill="1" applyBorder="1" applyAlignment="1" applyProtection="1">
      <alignment horizontal="right" shrinkToFit="1"/>
      <protection locked="0"/>
    </xf>
    <xf numFmtId="0" fontId="13" fillId="35" borderId="63" xfId="0" applyFont="1" applyFill="1" applyBorder="1" applyAlignment="1" applyProtection="1">
      <alignment vertical="center" shrinkToFit="1"/>
      <protection locked="0"/>
    </xf>
    <xf numFmtId="9" fontId="0" fillId="35" borderId="63" xfId="0" applyNumberFormat="1" applyFill="1" applyBorder="1" applyAlignment="1" applyProtection="1">
      <alignment horizontal="right" vertical="center" shrinkToFit="1"/>
      <protection locked="0"/>
    </xf>
    <xf numFmtId="0" fontId="0" fillId="35" borderId="63" xfId="0" applyFill="1" applyBorder="1" applyAlignment="1" applyProtection="1">
      <alignment vertical="center" shrinkToFit="1"/>
      <protection locked="0"/>
    </xf>
    <xf numFmtId="57" fontId="0" fillId="0" borderId="0" xfId="0" applyNumberFormat="1" applyAlignment="1">
      <alignment vertical="center"/>
    </xf>
    <xf numFmtId="0" fontId="14" fillId="0" borderId="0" xfId="0" applyFont="1" applyAlignment="1">
      <alignment vertical="center"/>
    </xf>
    <xf numFmtId="0" fontId="3" fillId="0" borderId="10" xfId="0" applyFont="1" applyBorder="1" applyAlignment="1">
      <alignment vertical="center"/>
    </xf>
    <xf numFmtId="0" fontId="0" fillId="33" borderId="64" xfId="0" applyFill="1" applyBorder="1" applyAlignment="1">
      <alignment horizontal="center" vertical="center" wrapText="1" shrinkToFit="1"/>
    </xf>
    <xf numFmtId="0" fontId="0" fillId="33" borderId="64" xfId="0" applyFill="1" applyBorder="1" applyAlignment="1" applyProtection="1">
      <alignment horizontal="center" vertical="center" wrapText="1" shrinkToFit="1"/>
      <protection hidden="1"/>
    </xf>
    <xf numFmtId="0" fontId="0" fillId="34" borderId="0" xfId="0" applyFill="1" applyBorder="1" applyAlignment="1">
      <alignment vertical="center"/>
    </xf>
    <xf numFmtId="0" fontId="0" fillId="34" borderId="0" xfId="0" applyFill="1" applyAlignment="1">
      <alignment vertical="center"/>
    </xf>
    <xf numFmtId="0" fontId="19" fillId="0" borderId="0" xfId="0" applyFont="1" applyAlignment="1" applyProtection="1">
      <alignment vertical="center"/>
      <protection hidden="1"/>
    </xf>
    <xf numFmtId="0" fontId="19" fillId="36" borderId="65" xfId="0" applyFont="1" applyFill="1" applyBorder="1" applyAlignment="1">
      <alignment vertical="center"/>
    </xf>
    <xf numFmtId="5" fontId="0" fillId="0" borderId="52" xfId="0" applyNumberFormat="1" applyBorder="1" applyAlignment="1">
      <alignment vertical="center"/>
    </xf>
    <xf numFmtId="5" fontId="0" fillId="0" borderId="0" xfId="0" applyNumberFormat="1" applyAlignment="1">
      <alignment vertical="center" shrinkToFit="1"/>
    </xf>
    <xf numFmtId="0" fontId="14" fillId="0" borderId="10" xfId="0" applyFont="1" applyBorder="1" applyAlignment="1">
      <alignment vertical="center"/>
    </xf>
    <xf numFmtId="0" fontId="22" fillId="0" borderId="10" xfId="0" applyFont="1" applyFill="1" applyBorder="1" applyAlignment="1">
      <alignment vertical="center"/>
    </xf>
    <xf numFmtId="0" fontId="11" fillId="0" borderId="10" xfId="0" applyFont="1" applyBorder="1" applyAlignment="1">
      <alignment vertical="center"/>
    </xf>
    <xf numFmtId="0" fontId="0" fillId="37" borderId="66" xfId="0" applyFill="1" applyBorder="1" applyAlignment="1">
      <alignment vertical="center"/>
    </xf>
    <xf numFmtId="0" fontId="19" fillId="0" borderId="0" xfId="0" applyFont="1" applyAlignment="1">
      <alignment vertical="center"/>
    </xf>
    <xf numFmtId="0" fontId="0" fillId="36" borderId="0" xfId="0" applyFill="1" applyAlignment="1">
      <alignment vertical="center"/>
    </xf>
    <xf numFmtId="0" fontId="0" fillId="38" borderId="0" xfId="0" applyFill="1" applyAlignment="1">
      <alignment vertical="center"/>
    </xf>
    <xf numFmtId="0" fontId="0" fillId="33" borderId="0" xfId="0" applyFill="1" applyAlignment="1">
      <alignment vertical="center"/>
    </xf>
    <xf numFmtId="0" fontId="5" fillId="0" borderId="54" xfId="0" applyFont="1" applyBorder="1" applyAlignment="1">
      <alignment vertical="center"/>
    </xf>
    <xf numFmtId="0" fontId="5" fillId="0" borderId="54" xfId="0" applyFont="1" applyBorder="1" applyAlignment="1" applyProtection="1">
      <alignment vertical="top" wrapText="1"/>
      <protection hidden="1"/>
    </xf>
    <xf numFmtId="0" fontId="6" fillId="0" borderId="51" xfId="0" applyFont="1" applyFill="1" applyBorder="1" applyAlignment="1" applyProtection="1">
      <alignment vertical="center"/>
      <protection hidden="1"/>
    </xf>
    <xf numFmtId="0" fontId="6" fillId="0" borderId="67" xfId="0" applyFont="1" applyFill="1" applyBorder="1" applyAlignment="1" applyProtection="1">
      <alignment vertical="center"/>
      <protection hidden="1"/>
    </xf>
    <xf numFmtId="0" fontId="6" fillId="0" borderId="52" xfId="0" applyFont="1" applyFill="1" applyBorder="1" applyAlignment="1" applyProtection="1">
      <alignment vertical="center"/>
      <protection hidden="1"/>
    </xf>
    <xf numFmtId="190" fontId="4" fillId="0" borderId="10" xfId="0" applyNumberFormat="1" applyFont="1" applyBorder="1" applyAlignment="1" applyProtection="1">
      <alignment vertical="top" wrapText="1"/>
      <protection hidden="1"/>
    </xf>
    <xf numFmtId="0" fontId="14" fillId="0" borderId="0" xfId="0" applyFont="1" applyAlignment="1" applyProtection="1">
      <alignment vertical="center"/>
      <protection hidden="1"/>
    </xf>
    <xf numFmtId="0" fontId="3" fillId="33" borderId="65" xfId="0" applyFont="1" applyFill="1" applyBorder="1" applyAlignment="1" applyProtection="1">
      <alignment vertical="top" wrapText="1"/>
      <protection hidden="1"/>
    </xf>
    <xf numFmtId="0" fontId="4" fillId="33" borderId="11" xfId="0" applyFont="1" applyFill="1" applyBorder="1" applyAlignment="1" applyProtection="1">
      <alignment horizontal="center" vertical="top" wrapText="1"/>
      <protection hidden="1"/>
    </xf>
    <xf numFmtId="0" fontId="4" fillId="33" borderId="13" xfId="0" applyFont="1" applyFill="1" applyBorder="1" applyAlignment="1" applyProtection="1">
      <alignment horizontal="center" vertical="top" wrapText="1"/>
      <protection hidden="1"/>
    </xf>
    <xf numFmtId="0" fontId="4" fillId="33" borderId="16" xfId="0" applyFont="1" applyFill="1" applyBorder="1" applyAlignment="1" applyProtection="1">
      <alignment horizontal="center" vertical="top" wrapText="1"/>
      <protection hidden="1"/>
    </xf>
    <xf numFmtId="0" fontId="4" fillId="33" borderId="18" xfId="0" applyFont="1" applyFill="1" applyBorder="1" applyAlignment="1" applyProtection="1">
      <alignment horizontal="center" vertical="top" wrapText="1"/>
      <protection hidden="1"/>
    </xf>
    <xf numFmtId="0" fontId="4" fillId="33" borderId="19" xfId="0" applyFont="1" applyFill="1" applyBorder="1" applyAlignment="1" applyProtection="1">
      <alignment horizontal="center" vertical="top" wrapText="1"/>
      <protection hidden="1"/>
    </xf>
    <xf numFmtId="0" fontId="4" fillId="33" borderId="21" xfId="0" applyFont="1" applyFill="1" applyBorder="1" applyAlignment="1" applyProtection="1">
      <alignment horizontal="center" vertical="center" wrapText="1"/>
      <protection hidden="1"/>
    </xf>
    <xf numFmtId="0" fontId="4" fillId="33" borderId="13" xfId="0" applyFont="1" applyFill="1" applyBorder="1" applyAlignment="1" applyProtection="1">
      <alignment horizontal="center" vertical="center" wrapText="1"/>
      <protection hidden="1"/>
    </xf>
    <xf numFmtId="0" fontId="4" fillId="33" borderId="18" xfId="0" applyFont="1" applyFill="1" applyBorder="1" applyAlignment="1" applyProtection="1">
      <alignment horizontal="center" vertical="center" wrapText="1"/>
      <protection hidden="1"/>
    </xf>
    <xf numFmtId="0" fontId="4" fillId="33" borderId="16" xfId="0" applyFont="1" applyFill="1" applyBorder="1" applyAlignment="1" applyProtection="1">
      <alignment horizontal="center" vertical="center" wrapText="1"/>
      <protection hidden="1"/>
    </xf>
    <xf numFmtId="0" fontId="4" fillId="33" borderId="19" xfId="0" applyFont="1" applyFill="1" applyBorder="1" applyAlignment="1" applyProtection="1">
      <alignment horizontal="center" vertical="center" wrapText="1"/>
      <protection hidden="1"/>
    </xf>
    <xf numFmtId="0" fontId="4" fillId="33" borderId="21" xfId="0" applyFont="1" applyFill="1" applyBorder="1" applyAlignment="1" applyProtection="1">
      <alignment horizontal="center" vertical="top" wrapText="1"/>
      <protection hidden="1"/>
    </xf>
    <xf numFmtId="0" fontId="4" fillId="33" borderId="23" xfId="0" applyFont="1" applyFill="1" applyBorder="1" applyAlignment="1" applyProtection="1">
      <alignment horizontal="center" vertical="top" wrapText="1"/>
      <protection hidden="1"/>
    </xf>
    <xf numFmtId="0" fontId="3" fillId="33" borderId="0" xfId="0" applyFont="1" applyFill="1" applyAlignment="1">
      <alignment vertical="center"/>
    </xf>
    <xf numFmtId="0" fontId="16" fillId="0" borderId="66" xfId="0" applyFont="1" applyBorder="1" applyAlignment="1" applyProtection="1">
      <alignment vertical="center" shrinkToFit="1"/>
      <protection hidden="1"/>
    </xf>
    <xf numFmtId="0" fontId="0" fillId="34" borderId="68" xfId="0" applyFill="1" applyBorder="1" applyAlignment="1" applyProtection="1">
      <alignment vertical="center"/>
      <protection hidden="1"/>
    </xf>
    <xf numFmtId="0" fontId="13" fillId="0" borderId="48" xfId="0" applyFont="1" applyBorder="1" applyAlignment="1" applyProtection="1">
      <alignment horizontal="right"/>
      <protection hidden="1"/>
    </xf>
    <xf numFmtId="0" fontId="13" fillId="0" borderId="48" xfId="0" applyFont="1" applyBorder="1" applyAlignment="1" applyProtection="1">
      <alignment vertical="center"/>
      <protection hidden="1"/>
    </xf>
    <xf numFmtId="3" fontId="13" fillId="0" borderId="48" xfId="0" applyNumberFormat="1" applyFont="1" applyBorder="1" applyAlignment="1" applyProtection="1">
      <alignment vertical="center" shrinkToFit="1"/>
      <protection hidden="1"/>
    </xf>
    <xf numFmtId="0" fontId="13" fillId="0" borderId="48" xfId="0" applyFont="1" applyBorder="1" applyAlignment="1" applyProtection="1">
      <alignment horizontal="center" vertical="center"/>
      <protection hidden="1"/>
    </xf>
    <xf numFmtId="188" fontId="13" fillId="0" borderId="48" xfId="0" applyNumberFormat="1" applyFont="1" applyBorder="1" applyAlignment="1" applyProtection="1">
      <alignment horizontal="center" vertical="center"/>
      <protection hidden="1"/>
    </xf>
    <xf numFmtId="0" fontId="13" fillId="0" borderId="68" xfId="0" applyFont="1" applyBorder="1" applyAlignment="1" applyProtection="1">
      <alignment horizontal="right"/>
      <protection hidden="1"/>
    </xf>
    <xf numFmtId="38" fontId="0" fillId="34" borderId="69" xfId="49" applyFont="1" applyFill="1" applyBorder="1" applyAlignment="1" applyProtection="1">
      <alignment/>
      <protection hidden="1"/>
    </xf>
    <xf numFmtId="9" fontId="13" fillId="0" borderId="48" xfId="0" applyNumberFormat="1" applyFont="1" applyBorder="1" applyAlignment="1" applyProtection="1">
      <alignment horizontal="right" vertical="center"/>
      <protection hidden="1"/>
    </xf>
    <xf numFmtId="3" fontId="13" fillId="0" borderId="70" xfId="0" applyNumberFormat="1" applyFont="1" applyBorder="1" applyAlignment="1" applyProtection="1">
      <alignment vertical="center" shrinkToFit="1"/>
      <protection hidden="1"/>
    </xf>
    <xf numFmtId="0" fontId="0" fillId="34" borderId="71" xfId="0" applyFill="1" applyBorder="1" applyAlignment="1" applyProtection="1">
      <alignment horizontal="center" shrinkToFit="1"/>
      <protection hidden="1"/>
    </xf>
    <xf numFmtId="0" fontId="0" fillId="34" borderId="72" xfId="0" applyFill="1" applyBorder="1" applyAlignment="1" applyProtection="1">
      <alignment horizontal="center" shrinkToFit="1"/>
      <protection hidden="1"/>
    </xf>
    <xf numFmtId="0" fontId="0" fillId="34" borderId="73" xfId="0" applyFill="1" applyBorder="1" applyAlignment="1" applyProtection="1">
      <alignment shrinkToFit="1"/>
      <protection hidden="1"/>
    </xf>
    <xf numFmtId="0" fontId="0" fillId="34" borderId="35" xfId="0" applyFill="1" applyBorder="1" applyAlignment="1" applyProtection="1">
      <alignment shrinkToFit="1"/>
      <protection hidden="1"/>
    </xf>
    <xf numFmtId="0" fontId="0" fillId="34" borderId="72" xfId="0" applyFill="1" applyBorder="1" applyAlignment="1" applyProtection="1">
      <alignment horizontal="left" shrinkToFit="1"/>
      <protection hidden="1"/>
    </xf>
    <xf numFmtId="0" fontId="0" fillId="34" borderId="71" xfId="0" applyFill="1" applyBorder="1" applyAlignment="1" applyProtection="1">
      <alignment horizontal="left" shrinkToFit="1"/>
      <protection hidden="1"/>
    </xf>
    <xf numFmtId="0" fontId="0" fillId="34" borderId="73" xfId="0" applyFill="1" applyBorder="1" applyAlignment="1" applyProtection="1">
      <alignment horizontal="center" shrinkToFit="1"/>
      <protection hidden="1"/>
    </xf>
    <xf numFmtId="0" fontId="0" fillId="34" borderId="73" xfId="0" applyFill="1" applyBorder="1" applyAlignment="1" applyProtection="1">
      <alignment horizontal="left" shrinkToFit="1"/>
      <protection hidden="1"/>
    </xf>
    <xf numFmtId="0" fontId="12" fillId="34" borderId="68" xfId="0" applyFont="1" applyFill="1" applyBorder="1" applyAlignment="1" applyProtection="1">
      <alignment horizontal="center" shrinkToFit="1"/>
      <protection hidden="1"/>
    </xf>
    <xf numFmtId="0" fontId="12" fillId="34" borderId="74" xfId="0" applyFont="1" applyFill="1" applyBorder="1" applyAlignment="1" applyProtection="1">
      <alignment horizontal="center" shrinkToFit="1"/>
      <protection hidden="1"/>
    </xf>
    <xf numFmtId="0" fontId="0" fillId="34" borderId="48" xfId="0" applyFill="1" applyBorder="1" applyAlignment="1" applyProtection="1">
      <alignment horizontal="right"/>
      <protection hidden="1"/>
    </xf>
    <xf numFmtId="3" fontId="0" fillId="34" borderId="48" xfId="0" applyNumberFormat="1" applyFill="1" applyBorder="1" applyAlignment="1" applyProtection="1">
      <alignment horizontal="right"/>
      <protection hidden="1"/>
    </xf>
    <xf numFmtId="177" fontId="0" fillId="34" borderId="48" xfId="0" applyNumberFormat="1" applyFill="1" applyBorder="1" applyAlignment="1" applyProtection="1">
      <alignment horizontal="right"/>
      <protection hidden="1"/>
    </xf>
    <xf numFmtId="0" fontId="0" fillId="34" borderId="75" xfId="0" applyFill="1" applyBorder="1" applyAlignment="1" applyProtection="1">
      <alignment horizontal="left"/>
      <protection hidden="1"/>
    </xf>
    <xf numFmtId="0" fontId="0" fillId="34" borderId="68" xfId="0" applyFill="1" applyBorder="1" applyAlignment="1" applyProtection="1">
      <alignment horizontal="right"/>
      <protection hidden="1"/>
    </xf>
    <xf numFmtId="9" fontId="0" fillId="34" borderId="48" xfId="0" applyNumberFormat="1" applyFill="1" applyBorder="1" applyAlignment="1" applyProtection="1">
      <alignment horizontal="right"/>
      <protection hidden="1"/>
    </xf>
    <xf numFmtId="3" fontId="13" fillId="0" borderId="58" xfId="0" applyNumberFormat="1" applyFont="1" applyBorder="1" applyAlignment="1" applyProtection="1">
      <alignment vertical="center" shrinkToFit="1"/>
      <protection hidden="1"/>
    </xf>
    <xf numFmtId="0" fontId="0" fillId="34" borderId="60" xfId="0" applyFill="1" applyBorder="1" applyAlignment="1" applyProtection="1">
      <alignment vertical="center"/>
      <protection hidden="1"/>
    </xf>
    <xf numFmtId="0" fontId="0" fillId="33" borderId="64" xfId="0" applyFill="1" applyBorder="1" applyAlignment="1" applyProtection="1">
      <alignment horizontal="center" vertical="center" shrinkToFit="1"/>
      <protection hidden="1"/>
    </xf>
    <xf numFmtId="0" fontId="0" fillId="33" borderId="64" xfId="0" applyFill="1" applyBorder="1" applyAlignment="1">
      <alignment horizontal="center" vertical="center" shrinkToFit="1"/>
    </xf>
    <xf numFmtId="0" fontId="12" fillId="34" borderId="48" xfId="0" applyFont="1" applyFill="1" applyBorder="1" applyAlignment="1" applyProtection="1">
      <alignment horizontal="center" shrinkToFit="1"/>
      <protection hidden="1"/>
    </xf>
    <xf numFmtId="0" fontId="12" fillId="34" borderId="75" xfId="0" applyFont="1" applyFill="1" applyBorder="1" applyAlignment="1" applyProtection="1">
      <alignment horizontal="center" shrinkToFit="1"/>
      <protection hidden="1"/>
    </xf>
    <xf numFmtId="0" fontId="12" fillId="34" borderId="0" xfId="0" applyFont="1" applyFill="1" applyBorder="1" applyAlignment="1" applyProtection="1">
      <alignment horizontal="center" shrinkToFit="1"/>
      <protection hidden="1"/>
    </xf>
    <xf numFmtId="0" fontId="12" fillId="34" borderId="76" xfId="0" applyFont="1" applyFill="1" applyBorder="1" applyAlignment="1" applyProtection="1">
      <alignment horizontal="center" shrinkToFit="1"/>
      <protection hidden="1"/>
    </xf>
    <xf numFmtId="0" fontId="12" fillId="34" borderId="77" xfId="0" applyFont="1" applyFill="1" applyBorder="1" applyAlignment="1" applyProtection="1">
      <alignment horizontal="center" shrinkToFit="1"/>
      <protection hidden="1"/>
    </xf>
    <xf numFmtId="0" fontId="12" fillId="34" borderId="78" xfId="0" applyFont="1" applyFill="1" applyBorder="1" applyAlignment="1" applyProtection="1">
      <alignment horizontal="center" shrinkToFit="1"/>
      <protection hidden="1"/>
    </xf>
    <xf numFmtId="0" fontId="0" fillId="33" borderId="51" xfId="0" applyFill="1" applyBorder="1" applyAlignment="1" applyProtection="1">
      <alignment vertical="center" shrinkToFit="1"/>
      <protection/>
    </xf>
    <xf numFmtId="0" fontId="0" fillId="39" borderId="51" xfId="0" applyFill="1" applyBorder="1" applyAlignment="1" applyProtection="1">
      <alignment vertical="center" shrinkToFit="1"/>
      <protection/>
    </xf>
    <xf numFmtId="186" fontId="0" fillId="33" borderId="79" xfId="0" applyNumberFormat="1" applyFill="1" applyBorder="1" applyAlignment="1" applyProtection="1">
      <alignment vertical="center" shrinkToFit="1"/>
      <protection/>
    </xf>
    <xf numFmtId="186" fontId="0" fillId="33" borderId="50" xfId="0" applyNumberFormat="1" applyFill="1" applyBorder="1" applyAlignment="1" applyProtection="1">
      <alignment vertical="center" shrinkToFit="1"/>
      <protection/>
    </xf>
    <xf numFmtId="186" fontId="0" fillId="39" borderId="50" xfId="0" applyNumberFormat="1" applyFill="1" applyBorder="1" applyAlignment="1" applyProtection="1">
      <alignment vertical="center" shrinkToFit="1"/>
      <protection/>
    </xf>
    <xf numFmtId="0" fontId="0" fillId="34" borderId="80" xfId="0" applyFill="1" applyBorder="1" applyAlignment="1" applyProtection="1">
      <alignment horizontal="left" shrinkToFit="1"/>
      <protection hidden="1"/>
    </xf>
    <xf numFmtId="0" fontId="0" fillId="34" borderId="81" xfId="0" applyFill="1" applyBorder="1" applyAlignment="1" applyProtection="1">
      <alignment horizontal="center" shrinkToFit="1"/>
      <protection hidden="1"/>
    </xf>
    <xf numFmtId="0" fontId="0" fillId="34" borderId="76" xfId="0" applyFill="1" applyBorder="1" applyAlignment="1" applyProtection="1">
      <alignment horizontal="center" shrinkToFit="1"/>
      <protection hidden="1"/>
    </xf>
    <xf numFmtId="186" fontId="0" fillId="33" borderId="82" xfId="0" applyNumberFormat="1" applyFill="1" applyBorder="1" applyAlignment="1" applyProtection="1">
      <alignment vertical="center" shrinkToFit="1"/>
      <protection/>
    </xf>
    <xf numFmtId="0" fontId="3" fillId="33" borderId="83" xfId="0" applyFont="1" applyFill="1" applyBorder="1" applyAlignment="1" applyProtection="1">
      <alignment horizontal="center" shrinkToFit="1"/>
      <protection hidden="1"/>
    </xf>
    <xf numFmtId="0" fontId="3" fillId="33" borderId="84" xfId="0" applyFont="1" applyFill="1" applyBorder="1" applyAlignment="1" applyProtection="1">
      <alignment horizontal="center" shrinkToFit="1"/>
      <protection hidden="1"/>
    </xf>
    <xf numFmtId="0" fontId="12" fillId="0" borderId="61" xfId="0" applyFont="1" applyFill="1" applyBorder="1" applyAlignment="1" applyProtection="1">
      <alignment vertical="center" shrinkToFit="1"/>
      <protection locked="0"/>
    </xf>
    <xf numFmtId="0" fontId="3" fillId="0" borderId="62" xfId="0" applyFont="1" applyFill="1" applyBorder="1" applyAlignment="1" applyProtection="1">
      <alignment horizontal="center" textRotation="255" shrinkToFit="1"/>
      <protection locked="0"/>
    </xf>
    <xf numFmtId="0" fontId="0" fillId="0" borderId="63" xfId="0" applyFill="1" applyBorder="1" applyAlignment="1" applyProtection="1">
      <alignment shrinkToFit="1"/>
      <protection locked="0"/>
    </xf>
    <xf numFmtId="0" fontId="0" fillId="0" borderId="63" xfId="0" applyFill="1" applyBorder="1" applyAlignment="1" applyProtection="1">
      <alignment/>
      <protection locked="0"/>
    </xf>
    <xf numFmtId="6" fontId="0" fillId="0" borderId="63" xfId="49" applyNumberFormat="1" applyFill="1" applyBorder="1" applyAlignment="1" applyProtection="1">
      <alignment horizontal="right" shrinkToFit="1"/>
      <protection locked="0"/>
    </xf>
    <xf numFmtId="181" fontId="0" fillId="0" borderId="63" xfId="49" applyNumberFormat="1" applyFill="1" applyBorder="1" applyAlignment="1" applyProtection="1">
      <alignment horizontal="right" shrinkToFit="1"/>
      <protection locked="0"/>
    </xf>
    <xf numFmtId="181" fontId="13" fillId="0" borderId="63" xfId="0" applyNumberFormat="1" applyFont="1" applyFill="1" applyBorder="1" applyAlignment="1" applyProtection="1">
      <alignment vertical="center" shrinkToFit="1"/>
      <protection locked="0"/>
    </xf>
    <xf numFmtId="9" fontId="0" fillId="0" borderId="63" xfId="0" applyNumberFormat="1" applyFill="1" applyBorder="1" applyAlignment="1" applyProtection="1">
      <alignment horizontal="right" vertical="center" shrinkToFit="1"/>
      <protection locked="0"/>
    </xf>
    <xf numFmtId="0" fontId="0" fillId="0" borderId="85" xfId="0" applyFill="1" applyBorder="1" applyAlignment="1" applyProtection="1">
      <alignment vertical="center" shrinkToFit="1"/>
      <protection locked="0"/>
    </xf>
    <xf numFmtId="0" fontId="12" fillId="0" borderId="44" xfId="0" applyFont="1" applyFill="1" applyBorder="1" applyAlignment="1" applyProtection="1">
      <alignment vertical="center" shrinkToFit="1"/>
      <protection locked="0"/>
    </xf>
    <xf numFmtId="0" fontId="3" fillId="0" borderId="45" xfId="0" applyFont="1" applyFill="1" applyBorder="1" applyAlignment="1" applyProtection="1">
      <alignment horizontal="center" textRotation="255" shrinkToFit="1"/>
      <protection locked="0"/>
    </xf>
    <xf numFmtId="0" fontId="0" fillId="0" borderId="10" xfId="0" applyFill="1" applyBorder="1" applyAlignment="1" applyProtection="1">
      <alignment shrinkToFit="1"/>
      <protection locked="0"/>
    </xf>
    <xf numFmtId="0" fontId="0" fillId="0" borderId="10" xfId="0" applyFill="1" applyBorder="1" applyAlignment="1" applyProtection="1">
      <alignment/>
      <protection locked="0"/>
    </xf>
    <xf numFmtId="6" fontId="0" fillId="0" borderId="10" xfId="49" applyNumberFormat="1" applyFill="1" applyBorder="1" applyAlignment="1" applyProtection="1">
      <alignment horizontal="right" shrinkToFit="1"/>
      <protection locked="0"/>
    </xf>
    <xf numFmtId="181" fontId="13" fillId="0" borderId="10" xfId="0" applyNumberFormat="1" applyFont="1" applyFill="1" applyBorder="1" applyAlignment="1" applyProtection="1">
      <alignment vertical="center" shrinkToFit="1"/>
      <protection locked="0"/>
    </xf>
    <xf numFmtId="9" fontId="0" fillId="0" borderId="10" xfId="0" applyNumberFormat="1" applyFill="1" applyBorder="1" applyAlignment="1" applyProtection="1">
      <alignment horizontal="right" vertical="center" shrinkToFit="1"/>
      <protection locked="0"/>
    </xf>
    <xf numFmtId="0" fontId="0" fillId="0" borderId="51" xfId="0" applyFill="1" applyBorder="1" applyAlignment="1" applyProtection="1">
      <alignment vertical="center" shrinkToFit="1"/>
      <protection locked="0"/>
    </xf>
    <xf numFmtId="0" fontId="0" fillId="33" borderId="86" xfId="0" applyFill="1" applyBorder="1" applyAlignment="1" applyProtection="1">
      <alignment vertical="center"/>
      <protection hidden="1"/>
    </xf>
    <xf numFmtId="0" fontId="9" fillId="0" borderId="87" xfId="0" applyFont="1" applyFill="1" applyBorder="1" applyAlignment="1" applyProtection="1">
      <alignment horizontal="center"/>
      <protection locked="0"/>
    </xf>
    <xf numFmtId="0" fontId="10" fillId="33" borderId="88" xfId="0" applyFont="1" applyFill="1" applyBorder="1" applyAlignment="1" applyProtection="1">
      <alignment vertical="center"/>
      <protection hidden="1"/>
    </xf>
    <xf numFmtId="0" fontId="7" fillId="33" borderId="89" xfId="0" applyFont="1" applyFill="1" applyBorder="1" applyAlignment="1" applyProtection="1">
      <alignment vertical="center"/>
      <protection hidden="1"/>
    </xf>
    <xf numFmtId="0" fontId="7" fillId="33" borderId="87" xfId="0" applyFont="1" applyFill="1" applyBorder="1" applyAlignment="1" applyProtection="1">
      <alignment vertical="center"/>
      <protection hidden="1"/>
    </xf>
    <xf numFmtId="0" fontId="8" fillId="33" borderId="87" xfId="0" applyFont="1" applyFill="1" applyBorder="1" applyAlignment="1" applyProtection="1">
      <alignment vertical="center"/>
      <protection hidden="1"/>
    </xf>
    <xf numFmtId="0" fontId="3" fillId="0" borderId="90" xfId="0" applyFont="1" applyBorder="1" applyAlignment="1" applyProtection="1">
      <alignment horizontal="center" shrinkToFit="1"/>
      <protection hidden="1"/>
    </xf>
    <xf numFmtId="0" fontId="0" fillId="34" borderId="48" xfId="0" applyFill="1" applyBorder="1" applyAlignment="1" applyProtection="1">
      <alignment horizontal="left"/>
      <protection hidden="1"/>
    </xf>
    <xf numFmtId="0" fontId="3" fillId="34" borderId="75" xfId="0" applyFont="1" applyFill="1" applyBorder="1" applyAlignment="1" applyProtection="1">
      <alignment horizontal="center"/>
      <protection hidden="1"/>
    </xf>
    <xf numFmtId="0" fontId="23" fillId="0" borderId="10" xfId="0" applyFont="1" applyBorder="1" applyAlignment="1" applyProtection="1">
      <alignment horizontal="center" vertical="center"/>
      <protection hidden="1"/>
    </xf>
    <xf numFmtId="0" fontId="23" fillId="0" borderId="54" xfId="0" applyFont="1" applyBorder="1" applyAlignment="1" applyProtection="1">
      <alignment horizontal="center" vertical="center"/>
      <protection hidden="1"/>
    </xf>
    <xf numFmtId="0" fontId="0" fillId="0" borderId="53" xfId="0" applyFill="1" applyBorder="1" applyAlignment="1" applyProtection="1">
      <alignment vertical="center" shrinkToFit="1"/>
      <protection locked="0"/>
    </xf>
    <xf numFmtId="0" fontId="3" fillId="0" borderId="91" xfId="0" applyFont="1" applyFill="1" applyBorder="1" applyAlignment="1" applyProtection="1">
      <alignment horizontal="center" wrapText="1" shrinkToFit="1"/>
      <protection hidden="1"/>
    </xf>
    <xf numFmtId="0" fontId="0" fillId="40" borderId="0" xfId="0" applyFill="1" applyAlignment="1">
      <alignment vertical="center"/>
    </xf>
    <xf numFmtId="0" fontId="0" fillId="40" borderId="0" xfId="0" applyFill="1" applyBorder="1" applyAlignment="1">
      <alignment vertical="center"/>
    </xf>
    <xf numFmtId="0" fontId="0" fillId="40" borderId="0" xfId="0" applyFill="1" applyAlignment="1" applyProtection="1">
      <alignment vertical="center"/>
      <protection hidden="1"/>
    </xf>
    <xf numFmtId="0" fontId="0" fillId="40" borderId="78" xfId="0" applyFill="1" applyBorder="1" applyAlignment="1">
      <alignment vertical="center"/>
    </xf>
    <xf numFmtId="0" fontId="3" fillId="40" borderId="0" xfId="0" applyFont="1" applyFill="1" applyAlignment="1">
      <alignment vertical="center"/>
    </xf>
    <xf numFmtId="0" fontId="2" fillId="40" borderId="0" xfId="0" applyFont="1" applyFill="1" applyAlignment="1">
      <alignment vertical="center"/>
    </xf>
    <xf numFmtId="0" fontId="0" fillId="40" borderId="10" xfId="0" applyFill="1" applyBorder="1" applyAlignment="1">
      <alignment vertical="center"/>
    </xf>
    <xf numFmtId="0" fontId="0" fillId="41" borderId="10" xfId="0" applyFill="1" applyBorder="1" applyAlignment="1">
      <alignment vertical="center"/>
    </xf>
    <xf numFmtId="0" fontId="0" fillId="42" borderId="10" xfId="0" applyFill="1" applyBorder="1" applyAlignment="1">
      <alignment vertical="center"/>
    </xf>
    <xf numFmtId="0" fontId="0" fillId="43" borderId="10" xfId="0" applyFont="1" applyFill="1" applyBorder="1" applyAlignment="1">
      <alignment vertical="center"/>
    </xf>
    <xf numFmtId="0" fontId="25" fillId="40" borderId="0" xfId="0" applyFont="1" applyFill="1" applyBorder="1" applyAlignment="1">
      <alignment vertical="center"/>
    </xf>
    <xf numFmtId="0" fontId="0" fillId="44" borderId="10" xfId="0" applyFont="1" applyFill="1" applyBorder="1" applyAlignment="1">
      <alignment vertical="center"/>
    </xf>
    <xf numFmtId="0" fontId="22" fillId="40" borderId="0" xfId="0" applyFont="1" applyFill="1" applyBorder="1" applyAlignment="1">
      <alignment vertical="center"/>
    </xf>
    <xf numFmtId="0" fontId="14" fillId="40" borderId="0" xfId="0" applyFont="1" applyFill="1" applyBorder="1" applyAlignment="1">
      <alignment vertical="center"/>
    </xf>
    <xf numFmtId="0" fontId="26" fillId="40" borderId="0" xfId="0" applyFont="1" applyFill="1" applyBorder="1" applyAlignment="1">
      <alignment vertical="center"/>
    </xf>
    <xf numFmtId="0" fontId="0" fillId="36" borderId="0" xfId="0" applyFont="1" applyFill="1" applyBorder="1" applyAlignment="1">
      <alignment vertical="center"/>
    </xf>
    <xf numFmtId="0" fontId="0" fillId="0" borderId="10" xfId="0" applyFill="1" applyBorder="1" applyAlignment="1">
      <alignment vertical="center"/>
    </xf>
    <xf numFmtId="14" fontId="0" fillId="0" borderId="10" xfId="0" applyNumberFormat="1" applyFill="1" applyBorder="1" applyAlignment="1">
      <alignment vertical="center"/>
    </xf>
    <xf numFmtId="0" fontId="0" fillId="0" borderId="0" xfId="0" applyFill="1" applyBorder="1" applyAlignment="1">
      <alignment vertical="center"/>
    </xf>
    <xf numFmtId="190" fontId="0" fillId="0" borderId="10" xfId="0" applyNumberFormat="1" applyFill="1" applyBorder="1" applyAlignment="1">
      <alignment vertical="center"/>
    </xf>
    <xf numFmtId="0" fontId="0" fillId="0" borderId="92" xfId="0" applyFill="1" applyBorder="1" applyAlignment="1">
      <alignment vertical="center"/>
    </xf>
    <xf numFmtId="0" fontId="0" fillId="0" borderId="93" xfId="0" applyFill="1" applyBorder="1" applyAlignment="1">
      <alignment vertical="center"/>
    </xf>
    <xf numFmtId="0" fontId="0" fillId="0" borderId="69" xfId="0" applyFill="1" applyBorder="1" applyAlignment="1">
      <alignment vertical="center"/>
    </xf>
    <xf numFmtId="0" fontId="0" fillId="0" borderId="68" xfId="0" applyFill="1" applyBorder="1" applyAlignment="1">
      <alignment vertical="center"/>
    </xf>
    <xf numFmtId="0" fontId="0" fillId="0" borderId="75" xfId="0" applyFill="1" applyBorder="1" applyAlignment="1">
      <alignment vertical="center"/>
    </xf>
    <xf numFmtId="0" fontId="0" fillId="0" borderId="53" xfId="0" applyFill="1" applyBorder="1" applyAlignment="1">
      <alignment vertical="center"/>
    </xf>
    <xf numFmtId="0" fontId="0" fillId="0" borderId="94" xfId="0" applyFill="1" applyBorder="1" applyAlignment="1">
      <alignment vertical="center"/>
    </xf>
    <xf numFmtId="0" fontId="0" fillId="0" borderId="95" xfId="0" applyFill="1" applyBorder="1" applyAlignment="1">
      <alignment vertical="center"/>
    </xf>
    <xf numFmtId="0" fontId="20" fillId="40" borderId="94" xfId="43" applyFill="1" applyBorder="1" applyAlignment="1" applyProtection="1">
      <alignment vertical="center"/>
      <protection/>
    </xf>
    <xf numFmtId="0" fontId="0" fillId="45" borderId="10" xfId="0" applyFill="1" applyBorder="1" applyAlignment="1">
      <alignment vertical="center"/>
    </xf>
    <xf numFmtId="0" fontId="0" fillId="36" borderId="10" xfId="0" applyFill="1" applyBorder="1" applyAlignment="1">
      <alignment vertical="center"/>
    </xf>
    <xf numFmtId="190" fontId="0" fillId="36" borderId="10" xfId="0" applyNumberFormat="1" applyFill="1" applyBorder="1" applyAlignment="1">
      <alignment vertical="center"/>
    </xf>
    <xf numFmtId="0" fontId="27" fillId="40" borderId="0" xfId="0" applyFont="1" applyFill="1" applyAlignment="1">
      <alignment vertical="center"/>
    </xf>
    <xf numFmtId="0" fontId="0" fillId="0" borderId="51" xfId="0" applyBorder="1" applyAlignment="1">
      <alignment vertical="center"/>
    </xf>
    <xf numFmtId="0" fontId="0" fillId="0" borderId="67" xfId="0" applyBorder="1" applyAlignment="1">
      <alignment vertical="center"/>
    </xf>
    <xf numFmtId="0" fontId="0" fillId="0" borderId="52" xfId="0" applyBorder="1" applyAlignment="1">
      <alignment vertical="center"/>
    </xf>
    <xf numFmtId="0" fontId="0" fillId="39" borderId="10" xfId="0" applyFill="1" applyBorder="1" applyAlignment="1">
      <alignment vertical="center"/>
    </xf>
    <xf numFmtId="0" fontId="0" fillId="0" borderId="10" xfId="0" applyBorder="1" applyAlignment="1">
      <alignment horizontal="right" vertical="center"/>
    </xf>
    <xf numFmtId="0" fontId="24" fillId="40" borderId="0" xfId="0" applyFont="1" applyFill="1" applyBorder="1" applyAlignment="1">
      <alignment vertical="center"/>
    </xf>
    <xf numFmtId="0" fontId="3" fillId="33" borderId="0" xfId="0" applyFont="1" applyFill="1" applyBorder="1" applyAlignment="1" applyProtection="1">
      <alignment horizontal="center" wrapText="1" shrinkToFit="1"/>
      <protection hidden="1"/>
    </xf>
    <xf numFmtId="0" fontId="3" fillId="33" borderId="0" xfId="0" applyFont="1" applyFill="1" applyBorder="1" applyAlignment="1" applyProtection="1">
      <alignment horizontal="center" shrinkToFit="1"/>
      <protection hidden="1"/>
    </xf>
    <xf numFmtId="186" fontId="0" fillId="33" borderId="0" xfId="0" applyNumberFormat="1" applyFill="1" applyBorder="1" applyAlignment="1" applyProtection="1">
      <alignment vertical="center" shrinkToFit="1"/>
      <protection/>
    </xf>
    <xf numFmtId="186" fontId="0" fillId="33" borderId="10" xfId="0" applyNumberFormat="1" applyFill="1" applyBorder="1" applyAlignment="1" applyProtection="1">
      <alignment vertical="center" shrinkToFit="1"/>
      <protection/>
    </xf>
    <xf numFmtId="186" fontId="0" fillId="39" borderId="10" xfId="0" applyNumberFormat="1" applyFill="1" applyBorder="1" applyAlignment="1" applyProtection="1">
      <alignment vertical="center" shrinkToFit="1"/>
      <protection/>
    </xf>
    <xf numFmtId="198" fontId="0" fillId="33" borderId="10" xfId="0" applyNumberFormat="1" applyFill="1" applyBorder="1" applyAlignment="1" applyProtection="1">
      <alignment vertical="center" shrinkToFit="1"/>
      <protection/>
    </xf>
    <xf numFmtId="0" fontId="28" fillId="40" borderId="0" xfId="0" applyFont="1" applyFill="1" applyBorder="1" applyAlignment="1">
      <alignment vertical="center"/>
    </xf>
    <xf numFmtId="0" fontId="0" fillId="33" borderId="10" xfId="0" applyNumberFormat="1" applyFill="1" applyBorder="1" applyAlignment="1" applyProtection="1">
      <alignment vertical="center" shrinkToFit="1"/>
      <protection/>
    </xf>
    <xf numFmtId="14" fontId="0" fillId="40" borderId="0" xfId="0" applyNumberFormat="1" applyFill="1" applyAlignment="1">
      <alignment vertical="center" shrinkToFit="1"/>
    </xf>
    <xf numFmtId="0" fontId="3" fillId="40" borderId="0" xfId="0" applyFont="1" applyFill="1" applyAlignment="1">
      <alignment horizontal="center" vertical="center"/>
    </xf>
    <xf numFmtId="0" fontId="3" fillId="35" borderId="10" xfId="0" applyFont="1" applyFill="1" applyBorder="1" applyAlignment="1" applyProtection="1">
      <alignment horizontal="center" shrinkToFit="1"/>
      <protection hidden="1"/>
    </xf>
    <xf numFmtId="0" fontId="3" fillId="46" borderId="10" xfId="0" applyFont="1" applyFill="1" applyBorder="1" applyAlignment="1" applyProtection="1">
      <alignment horizontal="center" shrinkToFit="1"/>
      <protection hidden="1"/>
    </xf>
    <xf numFmtId="0" fontId="3" fillId="39" borderId="10" xfId="0" applyFont="1" applyFill="1" applyBorder="1" applyAlignment="1" applyProtection="1">
      <alignment horizontal="center" shrinkToFit="1"/>
      <protection hidden="1"/>
    </xf>
    <xf numFmtId="6" fontId="0" fillId="0" borderId="10" xfId="0" applyNumberFormat="1" applyFill="1" applyBorder="1" applyAlignment="1">
      <alignment vertical="center"/>
    </xf>
    <xf numFmtId="0" fontId="3" fillId="46" borderId="52" xfId="0" applyFont="1" applyFill="1" applyBorder="1" applyAlignment="1" applyProtection="1">
      <alignment horizontal="center" shrinkToFit="1"/>
      <protection hidden="1"/>
    </xf>
    <xf numFmtId="198" fontId="0" fillId="33" borderId="52" xfId="0" applyNumberFormat="1" applyFill="1" applyBorder="1" applyAlignment="1" applyProtection="1">
      <alignment vertical="center" shrinkToFit="1"/>
      <protection/>
    </xf>
    <xf numFmtId="186" fontId="0" fillId="39" borderId="52" xfId="0" applyNumberFormat="1" applyFill="1" applyBorder="1" applyAlignment="1" applyProtection="1">
      <alignment vertical="center" shrinkToFit="1"/>
      <protection/>
    </xf>
    <xf numFmtId="0" fontId="3" fillId="0" borderId="72" xfId="0" applyFont="1" applyFill="1" applyBorder="1" applyAlignment="1" applyProtection="1">
      <alignment horizontal="center" wrapText="1" shrinkToFit="1"/>
      <protection hidden="1"/>
    </xf>
    <xf numFmtId="0" fontId="3" fillId="33" borderId="96" xfId="0" applyFont="1" applyFill="1" applyBorder="1" applyAlignment="1" applyProtection="1">
      <alignment horizontal="center" shrinkToFit="1"/>
      <protection hidden="1"/>
    </xf>
    <xf numFmtId="0" fontId="0" fillId="33" borderId="44" xfId="0" applyFill="1" applyBorder="1" applyAlignment="1" applyProtection="1">
      <alignment vertical="center"/>
      <protection hidden="1"/>
    </xf>
    <xf numFmtId="186" fontId="0" fillId="33" borderId="97" xfId="0" applyNumberFormat="1" applyFill="1" applyBorder="1" applyAlignment="1" applyProtection="1">
      <alignment vertical="center" shrinkToFit="1"/>
      <protection/>
    </xf>
    <xf numFmtId="0" fontId="0" fillId="33" borderId="98" xfId="0" applyFill="1" applyBorder="1" applyAlignment="1" applyProtection="1">
      <alignment vertical="center"/>
      <protection hidden="1"/>
    </xf>
    <xf numFmtId="186" fontId="0" fillId="39" borderId="97" xfId="0" applyNumberFormat="1" applyFill="1" applyBorder="1" applyAlignment="1" applyProtection="1">
      <alignment vertical="center" shrinkToFit="1"/>
      <protection/>
    </xf>
    <xf numFmtId="0" fontId="0" fillId="0" borderId="99" xfId="0" applyFill="1" applyBorder="1" applyAlignment="1" applyProtection="1">
      <alignment vertical="center" shrinkToFit="1"/>
      <protection locked="0"/>
    </xf>
    <xf numFmtId="0" fontId="0" fillId="39" borderId="100" xfId="0" applyFill="1" applyBorder="1" applyAlignment="1" applyProtection="1">
      <alignment vertical="center" shrinkToFit="1"/>
      <protection/>
    </xf>
    <xf numFmtId="186" fontId="0" fillId="39" borderId="101" xfId="0" applyNumberFormat="1" applyFill="1" applyBorder="1" applyAlignment="1" applyProtection="1">
      <alignment vertical="center" shrinkToFit="1"/>
      <protection/>
    </xf>
    <xf numFmtId="186" fontId="0" fillId="39" borderId="102" xfId="0" applyNumberFormat="1" applyFill="1" applyBorder="1" applyAlignment="1" applyProtection="1">
      <alignment vertical="center" shrinkToFit="1"/>
      <protection/>
    </xf>
    <xf numFmtId="0" fontId="3" fillId="0" borderId="10" xfId="0" applyFont="1" applyFill="1" applyBorder="1" applyAlignment="1" applyProtection="1">
      <alignment horizontal="center" shrinkToFit="1"/>
      <protection hidden="1"/>
    </xf>
    <xf numFmtId="0" fontId="6" fillId="40" borderId="0" xfId="0" applyFont="1" applyFill="1" applyAlignment="1">
      <alignment vertical="center"/>
    </xf>
    <xf numFmtId="0" fontId="3" fillId="45" borderId="10" xfId="0" applyFont="1" applyFill="1" applyBorder="1" applyAlignment="1" applyProtection="1">
      <alignment horizontal="center" shrinkToFit="1"/>
      <protection hidden="1"/>
    </xf>
    <xf numFmtId="6" fontId="28" fillId="40" borderId="0" xfId="0" applyNumberFormat="1" applyFont="1" applyFill="1" applyBorder="1" applyAlignment="1">
      <alignment vertical="center"/>
    </xf>
    <xf numFmtId="0" fontId="0" fillId="34" borderId="10" xfId="0" applyFill="1" applyBorder="1" applyAlignment="1" applyProtection="1">
      <alignment horizontal="right"/>
      <protection hidden="1"/>
    </xf>
    <xf numFmtId="0" fontId="29" fillId="40" borderId="0" xfId="0" applyFont="1" applyFill="1" applyBorder="1" applyAlignment="1">
      <alignment vertical="center"/>
    </xf>
    <xf numFmtId="0" fontId="12" fillId="34" borderId="81" xfId="0" applyFont="1" applyFill="1" applyBorder="1" applyAlignment="1" applyProtection="1">
      <alignment horizontal="center" shrinkToFit="1"/>
      <protection hidden="1"/>
    </xf>
    <xf numFmtId="0" fontId="3" fillId="34" borderId="103" xfId="0" applyFont="1" applyFill="1" applyBorder="1" applyAlignment="1" applyProtection="1">
      <alignment horizontal="center" shrinkToFit="1"/>
      <protection hidden="1"/>
    </xf>
    <xf numFmtId="0" fontId="23" fillId="0" borderId="97" xfId="0" applyNumberFormat="1" applyFont="1" applyBorder="1" applyAlignment="1" applyProtection="1">
      <alignment horizontal="center" vertical="center" shrinkToFit="1"/>
      <protection hidden="1"/>
    </xf>
    <xf numFmtId="0" fontId="13" fillId="0" borderId="97" xfId="0" applyNumberFormat="1" applyFont="1" applyBorder="1" applyAlignment="1" applyProtection="1">
      <alignment horizontal="center" vertical="center" shrinkToFit="1"/>
      <protection hidden="1"/>
    </xf>
    <xf numFmtId="0" fontId="13" fillId="0" borderId="104" xfId="0" applyNumberFormat="1" applyFont="1" applyBorder="1" applyAlignment="1" applyProtection="1">
      <alignment horizontal="center" vertical="center" shrinkToFit="1"/>
      <protection hidden="1"/>
    </xf>
    <xf numFmtId="0" fontId="13" fillId="0" borderId="105" xfId="0" applyNumberFormat="1" applyFont="1" applyBorder="1" applyAlignment="1" applyProtection="1">
      <alignment horizontal="center" vertical="center" shrinkToFit="1"/>
      <protection hidden="1"/>
    </xf>
    <xf numFmtId="0" fontId="0" fillId="0" borderId="66" xfId="0" applyBorder="1" applyAlignment="1">
      <alignment vertical="center"/>
    </xf>
    <xf numFmtId="0" fontId="0" fillId="0" borderId="54" xfId="0" applyBorder="1" applyAlignment="1">
      <alignment vertical="center"/>
    </xf>
    <xf numFmtId="0" fontId="0" fillId="0" borderId="106" xfId="0" applyBorder="1" applyAlignment="1">
      <alignment vertical="center"/>
    </xf>
    <xf numFmtId="0" fontId="0" fillId="0" borderId="34" xfId="0" applyBorder="1" applyAlignment="1">
      <alignment vertical="center"/>
    </xf>
    <xf numFmtId="0" fontId="0" fillId="0" borderId="50" xfId="0" applyBorder="1" applyAlignment="1">
      <alignment vertical="center"/>
    </xf>
    <xf numFmtId="0" fontId="0" fillId="0" borderId="97"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44"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99" xfId="0" applyBorder="1" applyAlignment="1">
      <alignment vertical="center"/>
    </xf>
    <xf numFmtId="0" fontId="0" fillId="0" borderId="116" xfId="0" applyBorder="1" applyAlignment="1">
      <alignment vertical="center"/>
    </xf>
    <xf numFmtId="0" fontId="0" fillId="0" borderId="98" xfId="0" applyBorder="1" applyAlignment="1">
      <alignment vertical="center"/>
    </xf>
    <xf numFmtId="0" fontId="0" fillId="0" borderId="79" xfId="0" applyBorder="1" applyAlignment="1">
      <alignment vertical="center"/>
    </xf>
    <xf numFmtId="0" fontId="0" fillId="0" borderId="117" xfId="0" applyBorder="1" applyAlignment="1">
      <alignment vertical="center"/>
    </xf>
    <xf numFmtId="0" fontId="0" fillId="0" borderId="94" xfId="0" applyBorder="1" applyAlignment="1">
      <alignment vertical="center"/>
    </xf>
    <xf numFmtId="0" fontId="0" fillId="0" borderId="53" xfId="0" applyBorder="1" applyAlignment="1">
      <alignment vertical="center"/>
    </xf>
    <xf numFmtId="0" fontId="0" fillId="0" borderId="95" xfId="0" applyBorder="1" applyAlignment="1">
      <alignment vertical="center"/>
    </xf>
    <xf numFmtId="0" fontId="0" fillId="0" borderId="118" xfId="0" applyBorder="1" applyAlignment="1">
      <alignment vertical="center"/>
    </xf>
    <xf numFmtId="0" fontId="11" fillId="40" borderId="0" xfId="0" applyFont="1" applyFill="1" applyBorder="1" applyAlignment="1">
      <alignment vertical="center"/>
    </xf>
    <xf numFmtId="181" fontId="0" fillId="0" borderId="10" xfId="0" applyNumberFormat="1" applyFill="1" applyBorder="1" applyAlignment="1">
      <alignment vertical="center"/>
    </xf>
    <xf numFmtId="190" fontId="0" fillId="45" borderId="10" xfId="0" applyNumberFormat="1" applyFill="1" applyBorder="1" applyAlignment="1">
      <alignment vertical="center"/>
    </xf>
    <xf numFmtId="177" fontId="0" fillId="34" borderId="10" xfId="0" applyNumberFormat="1" applyFill="1" applyBorder="1" applyAlignment="1" applyProtection="1">
      <alignment horizontal="right"/>
      <protection hidden="1"/>
    </xf>
    <xf numFmtId="181" fontId="0" fillId="36" borderId="10" xfId="0" applyNumberFormat="1" applyFill="1" applyBorder="1" applyAlignment="1">
      <alignment vertical="center"/>
    </xf>
    <xf numFmtId="0" fontId="3" fillId="36" borderId="10" xfId="0" applyFont="1" applyFill="1" applyBorder="1" applyAlignment="1">
      <alignment vertical="center"/>
    </xf>
    <xf numFmtId="3" fontId="0" fillId="34" borderId="10" xfId="0" applyNumberFormat="1" applyFill="1" applyBorder="1" applyAlignment="1" applyProtection="1">
      <alignment horizontal="right"/>
      <protection hidden="1"/>
    </xf>
    <xf numFmtId="0" fontId="3" fillId="33" borderId="10" xfId="0" applyFont="1" applyFill="1" applyBorder="1" applyAlignment="1">
      <alignment vertical="center"/>
    </xf>
    <xf numFmtId="0" fontId="0" fillId="33" borderId="10" xfId="0" applyFill="1" applyBorder="1" applyAlignment="1">
      <alignment vertical="center"/>
    </xf>
    <xf numFmtId="190" fontId="14" fillId="33" borderId="10" xfId="0" applyNumberFormat="1" applyFont="1" applyFill="1" applyBorder="1" applyAlignment="1">
      <alignment vertical="center"/>
    </xf>
    <xf numFmtId="0" fontId="0" fillId="0" borderId="119" xfId="0" applyBorder="1" applyAlignment="1">
      <alignment vertical="center"/>
    </xf>
    <xf numFmtId="0" fontId="0" fillId="0" borderId="105" xfId="0" applyBorder="1" applyAlignment="1">
      <alignment vertical="center"/>
    </xf>
    <xf numFmtId="0" fontId="0" fillId="0" borderId="120" xfId="0" applyBorder="1" applyAlignment="1">
      <alignment vertical="center"/>
    </xf>
    <xf numFmtId="0" fontId="3" fillId="0" borderId="119" xfId="0" applyFont="1" applyBorder="1" applyAlignment="1">
      <alignment vertical="center"/>
    </xf>
    <xf numFmtId="5" fontId="0" fillId="0" borderId="50" xfId="0" applyNumberFormat="1" applyBorder="1" applyAlignment="1">
      <alignment vertical="center"/>
    </xf>
    <xf numFmtId="5" fontId="0" fillId="0" borderId="97" xfId="0" applyNumberFormat="1" applyBorder="1" applyAlignment="1">
      <alignment vertical="center"/>
    </xf>
    <xf numFmtId="0" fontId="0" fillId="45" borderId="44" xfId="0" applyFill="1" applyBorder="1" applyAlignment="1">
      <alignment vertical="center"/>
    </xf>
    <xf numFmtId="5" fontId="0" fillId="45" borderId="50" xfId="0" applyNumberFormat="1" applyFill="1" applyBorder="1" applyAlignment="1">
      <alignment vertical="center"/>
    </xf>
    <xf numFmtId="5" fontId="0" fillId="45" borderId="97" xfId="0" applyNumberFormat="1" applyFill="1" applyBorder="1" applyAlignment="1">
      <alignment vertical="center"/>
    </xf>
    <xf numFmtId="181" fontId="0" fillId="0" borderId="10" xfId="0" applyNumberFormat="1" applyFont="1" applyFill="1" applyBorder="1" applyAlignment="1">
      <alignment vertical="center"/>
    </xf>
    <xf numFmtId="0" fontId="3" fillId="0" borderId="10" xfId="0" applyFont="1" applyFill="1" applyBorder="1" applyAlignment="1">
      <alignment vertical="center"/>
    </xf>
    <xf numFmtId="0" fontId="6" fillId="38" borderId="10" xfId="0" applyFont="1" applyFill="1" applyBorder="1" applyAlignment="1">
      <alignment vertical="center"/>
    </xf>
    <xf numFmtId="0" fontId="12" fillId="0" borderId="10" xfId="0" applyFont="1" applyFill="1" applyBorder="1" applyAlignment="1">
      <alignment vertical="center"/>
    </xf>
    <xf numFmtId="6" fontId="0" fillId="0" borderId="93" xfId="0" applyNumberFormat="1" applyFill="1" applyBorder="1" applyAlignment="1">
      <alignment vertical="center"/>
    </xf>
    <xf numFmtId="186" fontId="0" fillId="40" borderId="10" xfId="0" applyNumberFormat="1" applyFill="1" applyBorder="1" applyAlignment="1">
      <alignment vertical="center" shrinkToFit="1"/>
    </xf>
    <xf numFmtId="198" fontId="0" fillId="40" borderId="10" xfId="0" applyNumberFormat="1" applyFill="1" applyBorder="1" applyAlignment="1">
      <alignment vertical="center" shrinkToFit="1"/>
    </xf>
    <xf numFmtId="3" fontId="0" fillId="34" borderId="0" xfId="0" applyNumberFormat="1" applyFill="1" applyAlignment="1">
      <alignment vertical="center"/>
    </xf>
    <xf numFmtId="0" fontId="12" fillId="40" borderId="0" xfId="0" applyFont="1" applyFill="1" applyBorder="1" applyAlignment="1">
      <alignment vertical="center"/>
    </xf>
    <xf numFmtId="0" fontId="0" fillId="39" borderId="54" xfId="0" applyFill="1" applyBorder="1" applyAlignment="1" applyProtection="1">
      <alignment shrinkToFit="1"/>
      <protection locked="0"/>
    </xf>
    <xf numFmtId="0" fontId="0" fillId="39" borderId="54" xfId="0" applyFill="1" applyBorder="1" applyAlignment="1" applyProtection="1">
      <alignment/>
      <protection locked="0"/>
    </xf>
    <xf numFmtId="6" fontId="0" fillId="39" borderId="54" xfId="49" applyNumberFormat="1" applyFill="1" applyBorder="1" applyAlignment="1" applyProtection="1">
      <alignment horizontal="right" shrinkToFit="1"/>
      <protection locked="0"/>
    </xf>
    <xf numFmtId="0" fontId="0" fillId="39" borderId="10" xfId="0" applyNumberFormat="1" applyFill="1" applyBorder="1" applyAlignment="1" applyProtection="1" quotePrefix="1">
      <alignment vertical="center" shrinkToFit="1"/>
      <protection locked="0"/>
    </xf>
    <xf numFmtId="9" fontId="0" fillId="39" borderId="10" xfId="0" applyNumberFormat="1" applyFill="1" applyBorder="1" applyAlignment="1" applyProtection="1">
      <alignment horizontal="right" vertical="center" shrinkToFit="1"/>
      <protection locked="0"/>
    </xf>
    <xf numFmtId="0" fontId="0" fillId="39" borderId="51" xfId="0" applyFill="1" applyBorder="1" applyAlignment="1" applyProtection="1">
      <alignment vertical="center" shrinkToFit="1"/>
      <protection locked="0"/>
    </xf>
    <xf numFmtId="0" fontId="0" fillId="39" borderId="121" xfId="0" applyFill="1" applyBorder="1" applyAlignment="1" applyProtection="1">
      <alignment shrinkToFit="1"/>
      <protection locked="0"/>
    </xf>
    <xf numFmtId="0" fontId="0" fillId="39" borderId="121" xfId="0" applyFill="1" applyBorder="1" applyAlignment="1" applyProtection="1">
      <alignment/>
      <protection locked="0"/>
    </xf>
    <xf numFmtId="6" fontId="0" fillId="39" borderId="70" xfId="49" applyNumberFormat="1" applyFill="1" applyBorder="1" applyAlignment="1" applyProtection="1">
      <alignment horizontal="right" shrinkToFit="1"/>
      <protection locked="0"/>
    </xf>
    <xf numFmtId="6" fontId="0" fillId="39" borderId="121" xfId="49" applyNumberFormat="1" applyFill="1" applyBorder="1" applyAlignment="1" applyProtection="1">
      <alignment horizontal="right" shrinkToFit="1"/>
      <protection locked="0"/>
    </xf>
    <xf numFmtId="0" fontId="0" fillId="39" borderId="70" xfId="0" applyNumberFormat="1" applyFill="1" applyBorder="1" applyAlignment="1" applyProtection="1" quotePrefix="1">
      <alignment vertical="center" shrinkToFit="1"/>
      <protection locked="0"/>
    </xf>
    <xf numFmtId="9" fontId="0" fillId="39" borderId="70" xfId="0" applyNumberFormat="1" applyFill="1" applyBorder="1" applyAlignment="1" applyProtection="1">
      <alignment horizontal="right" vertical="center" shrinkToFit="1"/>
      <protection locked="0"/>
    </xf>
    <xf numFmtId="0" fontId="0" fillId="39" borderId="99" xfId="0" applyFill="1" applyBorder="1" applyAlignment="1" applyProtection="1">
      <alignment vertical="center" shrinkToFit="1"/>
      <protection locked="0"/>
    </xf>
    <xf numFmtId="198" fontId="0" fillId="35" borderId="10" xfId="0" applyNumberFormat="1" applyFill="1" applyBorder="1" applyAlignment="1" applyProtection="1">
      <alignment vertical="center" shrinkToFit="1"/>
      <protection/>
    </xf>
    <xf numFmtId="0" fontId="0" fillId="35" borderId="10" xfId="0" applyFill="1" applyBorder="1" applyAlignment="1">
      <alignment vertical="center"/>
    </xf>
    <xf numFmtId="182" fontId="0" fillId="35" borderId="10" xfId="0" applyNumberFormat="1" applyFill="1" applyBorder="1" applyAlignment="1">
      <alignment vertical="center"/>
    </xf>
    <xf numFmtId="0" fontId="30" fillId="45" borderId="78" xfId="43" applyFont="1" applyFill="1" applyBorder="1" applyAlignment="1" applyProtection="1">
      <alignment vertical="center"/>
      <protection/>
    </xf>
    <xf numFmtId="0" fontId="27" fillId="35" borderId="78" xfId="0" applyFont="1" applyFill="1" applyBorder="1" applyAlignment="1">
      <alignment vertical="center"/>
    </xf>
    <xf numFmtId="186" fontId="0" fillId="34" borderId="0" xfId="0" applyNumberFormat="1" applyFont="1" applyFill="1" applyAlignment="1">
      <alignment vertical="center"/>
    </xf>
    <xf numFmtId="0" fontId="0" fillId="34" borderId="0" xfId="0" applyNumberFormat="1" applyFill="1" applyAlignment="1">
      <alignment vertical="center"/>
    </xf>
    <xf numFmtId="182" fontId="0" fillId="34" borderId="0" xfId="0" applyNumberFormat="1" applyFont="1" applyFill="1" applyAlignment="1">
      <alignment vertical="center"/>
    </xf>
    <xf numFmtId="182" fontId="0" fillId="34" borderId="10" xfId="0" applyNumberFormat="1" applyFont="1" applyFill="1" applyBorder="1" applyAlignment="1">
      <alignment vertical="center"/>
    </xf>
    <xf numFmtId="4" fontId="0" fillId="34" borderId="0" xfId="0" applyNumberFormat="1" applyFill="1" applyAlignment="1">
      <alignment vertical="center"/>
    </xf>
    <xf numFmtId="202" fontId="0" fillId="34" borderId="0" xfId="0" applyNumberFormat="1" applyFont="1" applyFill="1" applyAlignment="1">
      <alignment vertical="center"/>
    </xf>
    <xf numFmtId="0" fontId="31" fillId="40" borderId="0" xfId="0" applyFont="1" applyFill="1" applyBorder="1" applyAlignment="1">
      <alignment vertical="center"/>
    </xf>
    <xf numFmtId="198" fontId="14" fillId="40" borderId="10" xfId="0" applyNumberFormat="1" applyFont="1" applyFill="1" applyBorder="1" applyAlignment="1">
      <alignment vertical="center" shrinkToFit="1"/>
    </xf>
    <xf numFmtId="0" fontId="6" fillId="40" borderId="0" xfId="0" applyFont="1" applyFill="1" applyBorder="1" applyAlignment="1">
      <alignment vertical="center"/>
    </xf>
    <xf numFmtId="0" fontId="0" fillId="47" borderId="10" xfId="0" applyFill="1" applyBorder="1" applyAlignment="1">
      <alignment vertical="center"/>
    </xf>
    <xf numFmtId="0" fontId="10" fillId="33" borderId="87" xfId="0" applyFont="1" applyFill="1" applyBorder="1" applyAlignment="1" applyProtection="1">
      <alignment vertical="center"/>
      <protection hidden="1"/>
    </xf>
    <xf numFmtId="0" fontId="0" fillId="0" borderId="0" xfId="0" applyFill="1" applyBorder="1" applyAlignment="1" applyProtection="1">
      <alignment horizontal="center" vertical="center"/>
      <protection locked="0"/>
    </xf>
    <xf numFmtId="0" fontId="64" fillId="40" borderId="0" xfId="0" applyFont="1" applyFill="1" applyBorder="1" applyAlignment="1">
      <alignment vertical="center"/>
    </xf>
    <xf numFmtId="0" fontId="64" fillId="40" borderId="122" xfId="0" applyFont="1" applyFill="1" applyBorder="1" applyAlignment="1">
      <alignment vertical="center"/>
    </xf>
    <xf numFmtId="0" fontId="0" fillId="40" borderId="123" xfId="0" applyFill="1" applyBorder="1" applyAlignment="1">
      <alignment vertical="center"/>
    </xf>
    <xf numFmtId="0" fontId="0" fillId="40" borderId="124" xfId="0" applyFill="1" applyBorder="1" applyAlignment="1">
      <alignment vertical="center"/>
    </xf>
    <xf numFmtId="0" fontId="64" fillId="40" borderId="125" xfId="0" applyFont="1" applyFill="1" applyBorder="1" applyAlignment="1">
      <alignment vertical="center"/>
    </xf>
    <xf numFmtId="0" fontId="0" fillId="40" borderId="126" xfId="0" applyFill="1" applyBorder="1" applyAlignment="1">
      <alignment vertical="center"/>
    </xf>
    <xf numFmtId="0" fontId="64" fillId="40" borderId="127" xfId="0" applyFont="1" applyFill="1" applyBorder="1" applyAlignment="1">
      <alignment vertical="center"/>
    </xf>
    <xf numFmtId="0" fontId="0" fillId="40" borderId="128" xfId="0" applyFill="1" applyBorder="1" applyAlignment="1">
      <alignment vertical="center"/>
    </xf>
    <xf numFmtId="0" fontId="0" fillId="40" borderId="129" xfId="0" applyFill="1" applyBorder="1" applyAlignment="1">
      <alignment vertical="center"/>
    </xf>
    <xf numFmtId="0" fontId="0" fillId="0" borderId="10" xfId="0" applyFill="1" applyBorder="1" applyAlignment="1" applyProtection="1">
      <alignment/>
      <protection/>
    </xf>
    <xf numFmtId="0" fontId="0" fillId="40" borderId="10" xfId="0" applyFill="1" applyBorder="1" applyAlignment="1">
      <alignment horizontal="center" vertical="center"/>
    </xf>
    <xf numFmtId="0" fontId="0" fillId="40" borderId="52" xfId="0" applyFill="1" applyBorder="1" applyAlignment="1">
      <alignment vertical="center"/>
    </xf>
    <xf numFmtId="0" fontId="0" fillId="40" borderId="113" xfId="0" applyFill="1" applyBorder="1" applyAlignment="1">
      <alignment vertical="center"/>
    </xf>
    <xf numFmtId="0" fontId="0" fillId="40" borderId="116" xfId="0" applyFill="1" applyBorder="1" applyAlignment="1">
      <alignment horizontal="left" vertical="center"/>
    </xf>
    <xf numFmtId="190" fontId="64" fillId="40" borderId="52" xfId="0" applyNumberFormat="1" applyFont="1" applyFill="1" applyBorder="1" applyAlignment="1">
      <alignment horizontal="center" vertical="center"/>
    </xf>
    <xf numFmtId="0" fontId="0" fillId="2" borderId="10" xfId="0" applyFill="1" applyBorder="1" applyAlignment="1">
      <alignment vertical="center"/>
    </xf>
    <xf numFmtId="0" fontId="0" fillId="33" borderId="130" xfId="0" applyFill="1" applyBorder="1" applyAlignment="1" applyProtection="1">
      <alignment horizontal="center" vertical="center" wrapText="1"/>
      <protection hidden="1"/>
    </xf>
    <xf numFmtId="0" fontId="0" fillId="33" borderId="131" xfId="0" applyFill="1" applyBorder="1" applyAlignment="1" applyProtection="1">
      <alignment horizontal="center" vertical="center" wrapText="1"/>
      <protection hidden="1"/>
    </xf>
    <xf numFmtId="0" fontId="0" fillId="33" borderId="132" xfId="0" applyFill="1" applyBorder="1" applyAlignment="1" applyProtection="1">
      <alignment horizontal="center" wrapText="1"/>
      <protection hidden="1"/>
    </xf>
    <xf numFmtId="0" fontId="0" fillId="0" borderId="64" xfId="0" applyBorder="1" applyAlignment="1">
      <alignment horizontal="center" wrapText="1"/>
    </xf>
    <xf numFmtId="0" fontId="0" fillId="0" borderId="64" xfId="0" applyBorder="1" applyAlignment="1" applyProtection="1">
      <alignment horizontal="center" wrapText="1"/>
      <protection hidden="1"/>
    </xf>
    <xf numFmtId="0" fontId="0" fillId="34" borderId="10" xfId="0" applyFill="1" applyBorder="1" applyAlignment="1">
      <alignment vertical="top" wrapText="1"/>
    </xf>
    <xf numFmtId="0" fontId="0" fillId="0" borderId="10" xfId="0" applyBorder="1" applyAlignment="1">
      <alignment vertical="center" wrapText="1"/>
    </xf>
    <xf numFmtId="0" fontId="3" fillId="0" borderId="0" xfId="0" applyFont="1" applyAlignment="1">
      <alignment vertical="center" wrapText="1"/>
    </xf>
    <xf numFmtId="0" fontId="3" fillId="34" borderId="133" xfId="0" applyFont="1" applyFill="1" applyBorder="1" applyAlignment="1">
      <alignment vertical="center" wrapText="1"/>
    </xf>
    <xf numFmtId="0" fontId="3" fillId="0" borderId="134" xfId="0" applyFont="1" applyBorder="1" applyAlignment="1">
      <alignment vertical="center" wrapText="1"/>
    </xf>
    <xf numFmtId="0" fontId="0" fillId="33" borderId="91" xfId="0" applyFill="1" applyBorder="1" applyAlignment="1" applyProtection="1">
      <alignment horizontal="center" vertical="center"/>
      <protection hidden="1"/>
    </xf>
    <xf numFmtId="0" fontId="0" fillId="0" borderId="90" xfId="0" applyBorder="1" applyAlignment="1" applyProtection="1">
      <alignment horizontal="center" vertical="center"/>
      <protection hidden="1"/>
    </xf>
    <xf numFmtId="0" fontId="3" fillId="33" borderId="135" xfId="0" applyFont="1" applyFill="1" applyBorder="1" applyAlignment="1" applyProtection="1">
      <alignment horizontal="center" vertical="center" textRotation="255"/>
      <protection hidden="1"/>
    </xf>
    <xf numFmtId="0" fontId="3" fillId="33" borderId="136" xfId="0" applyFont="1" applyFill="1" applyBorder="1" applyAlignment="1" applyProtection="1">
      <alignment horizontal="center" vertical="center" textRotation="255"/>
      <protection hidden="1"/>
    </xf>
    <xf numFmtId="0" fontId="0" fillId="33" borderId="132" xfId="0" applyFill="1" applyBorder="1" applyAlignment="1" applyProtection="1">
      <alignment horizontal="center" vertical="center" wrapText="1"/>
      <protection hidden="1"/>
    </xf>
    <xf numFmtId="0" fontId="0" fillId="33" borderId="64" xfId="0" applyFill="1" applyBorder="1" applyAlignment="1" applyProtection="1">
      <alignment horizontal="center" vertical="center" wrapText="1"/>
      <protection hidden="1"/>
    </xf>
    <xf numFmtId="0" fontId="0" fillId="33" borderId="91" xfId="0" applyFill="1" applyBorder="1" applyAlignment="1" applyProtection="1">
      <alignment horizontal="center" wrapText="1"/>
      <protection hidden="1"/>
    </xf>
    <xf numFmtId="0" fontId="0" fillId="0" borderId="137" xfId="0" applyBorder="1" applyAlignment="1" applyProtection="1">
      <alignment horizontal="center"/>
      <protection hidden="1"/>
    </xf>
    <xf numFmtId="0" fontId="0" fillId="0" borderId="90" xfId="0" applyBorder="1" applyAlignment="1" applyProtection="1">
      <alignment horizontal="center"/>
      <protection hidden="1"/>
    </xf>
    <xf numFmtId="0" fontId="0" fillId="0" borderId="138" xfId="0" applyBorder="1" applyAlignment="1" applyProtection="1">
      <alignment horizontal="center"/>
      <protection hidden="1"/>
    </xf>
    <xf numFmtId="0" fontId="0" fillId="40" borderId="0" xfId="0" applyFill="1" applyBorder="1" applyAlignment="1">
      <alignment vertical="center"/>
    </xf>
    <xf numFmtId="0" fontId="3" fillId="33" borderId="106" xfId="0" applyFont="1" applyFill="1" applyBorder="1" applyAlignment="1" applyProtection="1">
      <alignment horizontal="center" wrapText="1" shrinkToFit="1"/>
      <protection hidden="1"/>
    </xf>
    <xf numFmtId="0" fontId="3" fillId="33" borderId="34" xfId="0" applyFont="1" applyFill="1" applyBorder="1" applyAlignment="1" applyProtection="1">
      <alignment horizontal="center" wrapText="1" shrinkToFit="1"/>
      <protection hidden="1"/>
    </xf>
    <xf numFmtId="0" fontId="3" fillId="33" borderId="132" xfId="0" applyFont="1" applyFill="1" applyBorder="1" applyAlignment="1" applyProtection="1">
      <alignment horizontal="center" wrapText="1" shrinkToFit="1"/>
      <protection hidden="1"/>
    </xf>
    <xf numFmtId="0" fontId="3" fillId="0" borderId="64" xfId="0" applyFont="1" applyBorder="1" applyAlignment="1">
      <alignment horizontal="center" shrinkToFit="1"/>
    </xf>
    <xf numFmtId="0" fontId="3" fillId="33" borderId="91" xfId="0" applyFont="1" applyFill="1" applyBorder="1" applyAlignment="1" applyProtection="1">
      <alignment horizontal="center" wrapText="1" shrinkToFit="1"/>
      <protection hidden="1"/>
    </xf>
    <xf numFmtId="0" fontId="3" fillId="0" borderId="90" xfId="0" applyFont="1" applyBorder="1" applyAlignment="1" applyProtection="1">
      <alignment horizontal="center" shrinkToFit="1"/>
      <protection hidden="1"/>
    </xf>
    <xf numFmtId="0" fontId="0" fillId="43" borderId="51" xfId="0" applyFill="1" applyBorder="1" applyAlignment="1">
      <alignment vertical="center"/>
    </xf>
    <xf numFmtId="0" fontId="0" fillId="0" borderId="52" xfId="0" applyBorder="1" applyAlignment="1">
      <alignment vertical="center"/>
    </xf>
    <xf numFmtId="0" fontId="12" fillId="33" borderId="72" xfId="0" applyFont="1" applyFill="1" applyBorder="1" applyAlignment="1" applyProtection="1">
      <alignment horizontal="center" wrapText="1" shrinkToFit="1"/>
      <protection hidden="1"/>
    </xf>
    <xf numFmtId="0" fontId="12" fillId="0" borderId="73" xfId="0" applyFont="1" applyBorder="1" applyAlignment="1" applyProtection="1">
      <alignment horizontal="center" shrinkToFit="1"/>
      <protection hidden="1"/>
    </xf>
    <xf numFmtId="0" fontId="12" fillId="0" borderId="90" xfId="0" applyFont="1" applyBorder="1" applyAlignment="1" applyProtection="1">
      <alignment horizontal="center" shrinkToFit="1"/>
      <protection hidden="1"/>
    </xf>
    <xf numFmtId="0" fontId="12" fillId="0" borderId="138" xfId="0" applyFont="1" applyBorder="1" applyAlignment="1" applyProtection="1">
      <alignment horizontal="center" shrinkToFit="1"/>
      <protection hidden="1"/>
    </xf>
    <xf numFmtId="0" fontId="0" fillId="33" borderId="71" xfId="0" applyFill="1" applyBorder="1" applyAlignment="1" applyProtection="1">
      <alignment horizontal="center" vertical="center" shrinkToFit="1"/>
      <protection hidden="1"/>
    </xf>
    <xf numFmtId="0" fontId="0" fillId="33" borderId="64" xfId="0" applyFill="1" applyBorder="1" applyAlignment="1" applyProtection="1">
      <alignment horizontal="center" vertical="center" shrinkToFit="1"/>
      <protection hidden="1"/>
    </xf>
    <xf numFmtId="0" fontId="0" fillId="33" borderId="112" xfId="0" applyFill="1" applyBorder="1" applyAlignment="1" applyProtection="1">
      <alignment horizontal="center" vertical="center" shrinkToFit="1"/>
      <protection hidden="1"/>
    </xf>
    <xf numFmtId="0" fontId="0" fillId="0" borderId="113" xfId="0" applyBorder="1" applyAlignment="1">
      <alignment horizontal="center" vertical="center" shrinkToFit="1"/>
    </xf>
    <xf numFmtId="0" fontId="3" fillId="33" borderId="139" xfId="0" applyFont="1" applyFill="1" applyBorder="1" applyAlignment="1" applyProtection="1">
      <alignment horizontal="center" wrapText="1" shrinkToFit="1"/>
      <protection hidden="1"/>
    </xf>
    <xf numFmtId="0" fontId="3" fillId="33" borderId="140" xfId="0" applyFont="1" applyFill="1" applyBorder="1" applyAlignment="1" applyProtection="1">
      <alignment horizontal="center" wrapText="1" shrinkToFit="1"/>
      <protection hidden="1"/>
    </xf>
    <xf numFmtId="0" fontId="0" fillId="34" borderId="0" xfId="0" applyFill="1" applyAlignment="1" applyProtection="1">
      <alignment horizontal="center" vertical="center"/>
      <protection hidden="1"/>
    </xf>
    <xf numFmtId="0" fontId="12" fillId="34" borderId="68" xfId="0" applyFont="1" applyFill="1" applyBorder="1" applyAlignment="1" applyProtection="1">
      <alignment horizontal="center" shrinkToFit="1"/>
      <protection hidden="1"/>
    </xf>
    <xf numFmtId="0" fontId="12" fillId="0" borderId="75" xfId="0" applyFont="1" applyBorder="1" applyAlignment="1">
      <alignment horizontal="center" shrinkToFit="1"/>
    </xf>
    <xf numFmtId="0" fontId="0" fillId="40" borderId="0" xfId="0" applyFill="1" applyAlignment="1" quotePrefix="1">
      <alignment vertical="center" wrapText="1"/>
    </xf>
    <xf numFmtId="0" fontId="0" fillId="0" borderId="0" xfId="0" applyAlignment="1">
      <alignment vertical="center"/>
    </xf>
    <xf numFmtId="0" fontId="0" fillId="0" borderId="32"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80" xfId="0" applyFill="1" applyBorder="1" applyAlignment="1" applyProtection="1">
      <alignment horizontal="center" vertical="center"/>
      <protection locked="0"/>
    </xf>
    <xf numFmtId="0" fontId="3" fillId="33" borderId="71" xfId="0" applyFont="1" applyFill="1" applyBorder="1" applyAlignment="1" applyProtection="1">
      <alignment horizontal="center" wrapText="1" shrinkToFit="1"/>
      <protection hidden="1"/>
    </xf>
    <xf numFmtId="0" fontId="3" fillId="33" borderId="72" xfId="0" applyFont="1" applyFill="1" applyBorder="1" applyAlignment="1" applyProtection="1">
      <alignment horizontal="center" wrapText="1" shrinkToFit="1"/>
      <protection hidden="1"/>
    </xf>
    <xf numFmtId="0" fontId="12" fillId="39" borderId="44" xfId="0" applyFont="1" applyFill="1" applyBorder="1" applyAlignment="1" applyProtection="1">
      <alignment vertical="center" shrinkToFit="1"/>
      <protection locked="0"/>
    </xf>
    <xf numFmtId="0" fontId="12" fillId="39" borderId="52" xfId="0" applyFont="1" applyFill="1" applyBorder="1" applyAlignment="1" applyProtection="1">
      <alignment vertical="center" shrinkToFit="1"/>
      <protection locked="0"/>
    </xf>
    <xf numFmtId="0" fontId="12" fillId="39" borderId="114" xfId="0" applyFont="1" applyFill="1" applyBorder="1" applyAlignment="1" applyProtection="1">
      <alignment vertical="center" shrinkToFit="1"/>
      <protection locked="0"/>
    </xf>
    <xf numFmtId="0" fontId="12" fillId="39" borderId="116" xfId="0" applyFont="1" applyFill="1" applyBorder="1" applyAlignment="1" applyProtection="1">
      <alignment vertical="center" shrinkToFit="1"/>
      <protection locked="0"/>
    </xf>
    <xf numFmtId="0" fontId="0" fillId="33" borderId="46" xfId="0" applyFill="1" applyBorder="1" applyAlignment="1" applyProtection="1">
      <alignment horizontal="center" vertical="center" wrapText="1"/>
      <protection hidden="1"/>
    </xf>
    <xf numFmtId="0" fontId="0" fillId="0" borderId="141" xfId="0" applyBorder="1" applyAlignment="1" applyProtection="1">
      <alignment horizontal="center" vertical="center"/>
      <protection hidden="1"/>
    </xf>
    <xf numFmtId="0" fontId="0" fillId="33" borderId="72" xfId="0" applyFill="1" applyBorder="1" applyAlignment="1" applyProtection="1">
      <alignment horizontal="center" vertical="center" shrinkToFit="1"/>
      <protection hidden="1"/>
    </xf>
    <xf numFmtId="0" fontId="0" fillId="0" borderId="90" xfId="0" applyBorder="1" applyAlignment="1" applyProtection="1">
      <alignment horizontal="center" vertical="center" shrinkToFit="1"/>
      <protection hidden="1"/>
    </xf>
    <xf numFmtId="0" fontId="3" fillId="33" borderId="142" xfId="0" applyFont="1" applyFill="1" applyBorder="1" applyAlignment="1" applyProtection="1">
      <alignment horizontal="center" vertical="center" textRotation="255" shrinkToFit="1"/>
      <protection hidden="1"/>
    </xf>
    <xf numFmtId="0" fontId="3" fillId="33" borderId="136" xfId="0" applyFont="1" applyFill="1" applyBorder="1" applyAlignment="1" applyProtection="1">
      <alignment horizontal="center" vertical="center" textRotation="255" shrinkToFit="1"/>
      <protection hidden="1"/>
    </xf>
    <xf numFmtId="0" fontId="0" fillId="33" borderId="71" xfId="0" applyFill="1" applyBorder="1" applyAlignment="1" applyProtection="1">
      <alignment horizontal="center" vertical="center" wrapText="1" shrinkToFit="1"/>
      <protection hidden="1"/>
    </xf>
    <xf numFmtId="0" fontId="0" fillId="33" borderId="143" xfId="0" applyFill="1" applyBorder="1" applyAlignment="1" applyProtection="1">
      <alignment horizontal="center" vertical="center" wrapText="1"/>
      <protection hidden="1"/>
    </xf>
    <xf numFmtId="0" fontId="0" fillId="0" borderId="144" xfId="0" applyBorder="1" applyAlignment="1" applyProtection="1">
      <alignment horizontal="center" vertical="center"/>
      <protection hidden="1"/>
    </xf>
    <xf numFmtId="0" fontId="0" fillId="33" borderId="91" xfId="0" applyFill="1" applyBorder="1" applyAlignment="1" applyProtection="1">
      <alignment horizontal="center" vertical="center" shrinkToFit="1"/>
      <protection hidden="1"/>
    </xf>
    <xf numFmtId="0" fontId="3" fillId="33" borderId="135" xfId="0" applyFont="1" applyFill="1" applyBorder="1" applyAlignment="1" applyProtection="1">
      <alignment horizontal="center" vertical="center" textRotation="255" shrinkToFit="1"/>
      <protection hidden="1"/>
    </xf>
    <xf numFmtId="0" fontId="0" fillId="33" borderId="132" xfId="0" applyFill="1" applyBorder="1" applyAlignment="1" applyProtection="1">
      <alignment horizontal="center" vertical="center" wrapText="1" shrinkToFit="1"/>
      <protection hidden="1"/>
    </xf>
    <xf numFmtId="0" fontId="12" fillId="33" borderId="91" xfId="0" applyFont="1" applyFill="1" applyBorder="1" applyAlignment="1" applyProtection="1">
      <alignment horizontal="center" wrapText="1" shrinkToFit="1"/>
      <protection hidden="1"/>
    </xf>
    <xf numFmtId="0" fontId="12" fillId="0" borderId="137" xfId="0" applyFont="1" applyBorder="1" applyAlignment="1" applyProtection="1">
      <alignment horizontal="center" shrinkToFit="1"/>
      <protection hidden="1"/>
    </xf>
    <xf numFmtId="0" fontId="0" fillId="33" borderId="132" xfId="0" applyFill="1" applyBorder="1" applyAlignment="1" applyProtection="1">
      <alignment horizontal="center" vertical="center" shrinkToFit="1"/>
      <protection hidden="1"/>
    </xf>
    <xf numFmtId="0" fontId="0" fillId="33" borderId="145" xfId="0" applyFill="1" applyBorder="1" applyAlignment="1" applyProtection="1">
      <alignment horizontal="center" vertical="center" shrinkToFit="1"/>
      <protection hidden="1"/>
    </xf>
    <xf numFmtId="0" fontId="0" fillId="0" borderId="146" xfId="0" applyBorder="1" applyAlignment="1">
      <alignment horizontal="center" vertical="center" shrinkToFit="1"/>
    </xf>
    <xf numFmtId="0" fontId="12" fillId="39" borderId="39" xfId="0" applyFont="1" applyFill="1" applyBorder="1" applyAlignment="1" applyProtection="1">
      <alignment horizontal="center" vertical="center" wrapText="1"/>
      <protection hidden="1"/>
    </xf>
    <xf numFmtId="0" fontId="12" fillId="39" borderId="37" xfId="0" applyFont="1" applyFill="1" applyBorder="1" applyAlignment="1">
      <alignment horizontal="center" vertical="center" wrapText="1"/>
    </xf>
    <xf numFmtId="0" fontId="12" fillId="39" borderId="147" xfId="0" applyFont="1" applyFill="1" applyBorder="1" applyAlignment="1">
      <alignment horizontal="center" vertical="center" wrapText="1"/>
    </xf>
    <xf numFmtId="0" fontId="0" fillId="40" borderId="51" xfId="0" applyFill="1" applyBorder="1" applyAlignment="1">
      <alignment vertical="center"/>
    </xf>
    <xf numFmtId="0" fontId="0" fillId="40" borderId="52" xfId="0" applyFill="1" applyBorder="1" applyAlignment="1">
      <alignment vertical="center"/>
    </xf>
    <xf numFmtId="186" fontId="0" fillId="40" borderId="51" xfId="0" applyNumberFormat="1" applyFill="1" applyBorder="1" applyAlignment="1">
      <alignment vertical="center" shrinkToFit="1"/>
    </xf>
    <xf numFmtId="186" fontId="0" fillId="40" borderId="52" xfId="0" applyNumberFormat="1" applyFill="1" applyBorder="1" applyAlignment="1">
      <alignment vertical="center" shrinkToFit="1"/>
    </xf>
    <xf numFmtId="198" fontId="0" fillId="40" borderId="51" xfId="0" applyNumberFormat="1" applyFill="1" applyBorder="1" applyAlignment="1">
      <alignment vertical="center" shrinkToFit="1"/>
    </xf>
    <xf numFmtId="198" fontId="0" fillId="40" borderId="52" xfId="0" applyNumberForma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26</xdr:row>
      <xdr:rowOff>57150</xdr:rowOff>
    </xdr:from>
    <xdr:to>
      <xdr:col>8</xdr:col>
      <xdr:colOff>590550</xdr:colOff>
      <xdr:row>27</xdr:row>
      <xdr:rowOff>133350</xdr:rowOff>
    </xdr:to>
    <xdr:sp>
      <xdr:nvSpPr>
        <xdr:cNvPr id="1" name="AutoShape 1"/>
        <xdr:cNvSpPr>
          <a:spLocks/>
        </xdr:cNvSpPr>
      </xdr:nvSpPr>
      <xdr:spPr>
        <a:xfrm>
          <a:off x="5715000" y="4552950"/>
          <a:ext cx="200025" cy="2476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26</xdr:row>
      <xdr:rowOff>19050</xdr:rowOff>
    </xdr:from>
    <xdr:to>
      <xdr:col>7</xdr:col>
      <xdr:colOff>485775</xdr:colOff>
      <xdr:row>30</xdr:row>
      <xdr:rowOff>114300</xdr:rowOff>
    </xdr:to>
    <xdr:sp>
      <xdr:nvSpPr>
        <xdr:cNvPr id="2" name="AutoShape 2"/>
        <xdr:cNvSpPr>
          <a:spLocks/>
        </xdr:cNvSpPr>
      </xdr:nvSpPr>
      <xdr:spPr>
        <a:xfrm>
          <a:off x="4972050" y="4514850"/>
          <a:ext cx="152400" cy="7810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26</xdr:row>
      <xdr:rowOff>85725</xdr:rowOff>
    </xdr:from>
    <xdr:to>
      <xdr:col>4</xdr:col>
      <xdr:colOff>666750</xdr:colOff>
      <xdr:row>31</xdr:row>
      <xdr:rowOff>142875</xdr:rowOff>
    </xdr:to>
    <xdr:sp>
      <xdr:nvSpPr>
        <xdr:cNvPr id="3" name="AutoShape 3"/>
        <xdr:cNvSpPr>
          <a:spLocks/>
        </xdr:cNvSpPr>
      </xdr:nvSpPr>
      <xdr:spPr>
        <a:xfrm>
          <a:off x="3105150" y="4581525"/>
          <a:ext cx="142875" cy="91440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44</xdr:row>
      <xdr:rowOff>57150</xdr:rowOff>
    </xdr:from>
    <xdr:to>
      <xdr:col>1</xdr:col>
      <xdr:colOff>428625</xdr:colOff>
      <xdr:row>45</xdr:row>
      <xdr:rowOff>142875</xdr:rowOff>
    </xdr:to>
    <xdr:sp>
      <xdr:nvSpPr>
        <xdr:cNvPr id="4" name="AutoShape 4"/>
        <xdr:cNvSpPr>
          <a:spLocks/>
        </xdr:cNvSpPr>
      </xdr:nvSpPr>
      <xdr:spPr>
        <a:xfrm>
          <a:off x="714375" y="7639050"/>
          <a:ext cx="238125" cy="2571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44</xdr:row>
      <xdr:rowOff>38100</xdr:rowOff>
    </xdr:from>
    <xdr:to>
      <xdr:col>7</xdr:col>
      <xdr:colOff>438150</xdr:colOff>
      <xdr:row>45</xdr:row>
      <xdr:rowOff>123825</xdr:rowOff>
    </xdr:to>
    <xdr:sp>
      <xdr:nvSpPr>
        <xdr:cNvPr id="5" name="AutoShape 5"/>
        <xdr:cNvSpPr>
          <a:spLocks/>
        </xdr:cNvSpPr>
      </xdr:nvSpPr>
      <xdr:spPr>
        <a:xfrm>
          <a:off x="4838700" y="7620000"/>
          <a:ext cx="238125" cy="2571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44</xdr:row>
      <xdr:rowOff>28575</xdr:rowOff>
    </xdr:from>
    <xdr:to>
      <xdr:col>2</xdr:col>
      <xdr:colOff>495300</xdr:colOff>
      <xdr:row>45</xdr:row>
      <xdr:rowOff>114300</xdr:rowOff>
    </xdr:to>
    <xdr:sp>
      <xdr:nvSpPr>
        <xdr:cNvPr id="6" name="AutoShape 6"/>
        <xdr:cNvSpPr>
          <a:spLocks/>
        </xdr:cNvSpPr>
      </xdr:nvSpPr>
      <xdr:spPr>
        <a:xfrm>
          <a:off x="1466850" y="7610475"/>
          <a:ext cx="238125" cy="2571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44</xdr:row>
      <xdr:rowOff>47625</xdr:rowOff>
    </xdr:from>
    <xdr:to>
      <xdr:col>8</xdr:col>
      <xdr:colOff>514350</xdr:colOff>
      <xdr:row>45</xdr:row>
      <xdr:rowOff>133350</xdr:rowOff>
    </xdr:to>
    <xdr:sp>
      <xdr:nvSpPr>
        <xdr:cNvPr id="7" name="AutoShape 7"/>
        <xdr:cNvSpPr>
          <a:spLocks/>
        </xdr:cNvSpPr>
      </xdr:nvSpPr>
      <xdr:spPr>
        <a:xfrm>
          <a:off x="5600700" y="7629525"/>
          <a:ext cx="238125" cy="2571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44</xdr:row>
      <xdr:rowOff>28575</xdr:rowOff>
    </xdr:from>
    <xdr:to>
      <xdr:col>12</xdr:col>
      <xdr:colOff>476250</xdr:colOff>
      <xdr:row>45</xdr:row>
      <xdr:rowOff>114300</xdr:rowOff>
    </xdr:to>
    <xdr:sp>
      <xdr:nvSpPr>
        <xdr:cNvPr id="8" name="AutoShape 8"/>
        <xdr:cNvSpPr>
          <a:spLocks/>
        </xdr:cNvSpPr>
      </xdr:nvSpPr>
      <xdr:spPr>
        <a:xfrm>
          <a:off x="8410575" y="7610475"/>
          <a:ext cx="238125" cy="2571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76</xdr:row>
      <xdr:rowOff>0</xdr:rowOff>
    </xdr:from>
    <xdr:to>
      <xdr:col>6</xdr:col>
      <xdr:colOff>428625</xdr:colOff>
      <xdr:row>82</xdr:row>
      <xdr:rowOff>133350</xdr:rowOff>
    </xdr:to>
    <xdr:pic>
      <xdr:nvPicPr>
        <xdr:cNvPr id="9" name="Picture 9" descr="i_genk03"/>
        <xdr:cNvPicPr preferRelativeResize="1">
          <a:picLocks noChangeAspect="1"/>
        </xdr:cNvPicPr>
      </xdr:nvPicPr>
      <xdr:blipFill>
        <a:blip r:embed="rId1"/>
        <a:stretch>
          <a:fillRect/>
        </a:stretch>
      </xdr:blipFill>
      <xdr:spPr>
        <a:xfrm>
          <a:off x="523875" y="13487400"/>
          <a:ext cx="38576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79</xdr:row>
      <xdr:rowOff>38100</xdr:rowOff>
    </xdr:from>
    <xdr:to>
      <xdr:col>5</xdr:col>
      <xdr:colOff>123825</xdr:colOff>
      <xdr:row>81</xdr:row>
      <xdr:rowOff>95250</xdr:rowOff>
    </xdr:to>
    <xdr:sp>
      <xdr:nvSpPr>
        <xdr:cNvPr id="1" name="Line 77"/>
        <xdr:cNvSpPr>
          <a:spLocks/>
        </xdr:cNvSpPr>
      </xdr:nvSpPr>
      <xdr:spPr>
        <a:xfrm flipV="1">
          <a:off x="2914650" y="139636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79</xdr:row>
      <xdr:rowOff>28575</xdr:rowOff>
    </xdr:from>
    <xdr:to>
      <xdr:col>7</xdr:col>
      <xdr:colOff>104775</xdr:colOff>
      <xdr:row>81</xdr:row>
      <xdr:rowOff>85725</xdr:rowOff>
    </xdr:to>
    <xdr:sp>
      <xdr:nvSpPr>
        <xdr:cNvPr id="2" name="Line 79"/>
        <xdr:cNvSpPr>
          <a:spLocks/>
        </xdr:cNvSpPr>
      </xdr:nvSpPr>
      <xdr:spPr>
        <a:xfrm flipV="1">
          <a:off x="4067175" y="13954125"/>
          <a:ext cx="0" cy="400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79</xdr:row>
      <xdr:rowOff>19050</xdr:rowOff>
    </xdr:from>
    <xdr:to>
      <xdr:col>8</xdr:col>
      <xdr:colOff>114300</xdr:colOff>
      <xdr:row>81</xdr:row>
      <xdr:rowOff>76200</xdr:rowOff>
    </xdr:to>
    <xdr:sp>
      <xdr:nvSpPr>
        <xdr:cNvPr id="3" name="Line 80"/>
        <xdr:cNvSpPr>
          <a:spLocks/>
        </xdr:cNvSpPr>
      </xdr:nvSpPr>
      <xdr:spPr>
        <a:xfrm flipV="1">
          <a:off x="4486275" y="13944600"/>
          <a:ext cx="0" cy="40005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79</xdr:row>
      <xdr:rowOff>19050</xdr:rowOff>
    </xdr:from>
    <xdr:to>
      <xdr:col>9</xdr:col>
      <xdr:colOff>38100</xdr:colOff>
      <xdr:row>80</xdr:row>
      <xdr:rowOff>133350</xdr:rowOff>
    </xdr:to>
    <xdr:sp>
      <xdr:nvSpPr>
        <xdr:cNvPr id="4" name="Line 81"/>
        <xdr:cNvSpPr>
          <a:spLocks/>
        </xdr:cNvSpPr>
      </xdr:nvSpPr>
      <xdr:spPr>
        <a:xfrm flipV="1">
          <a:off x="4857750" y="13944600"/>
          <a:ext cx="0" cy="285750"/>
        </a:xfrm>
        <a:prstGeom prst="line">
          <a:avLst/>
        </a:prstGeom>
        <a:noFill/>
        <a:ln w="15875"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101</xdr:row>
      <xdr:rowOff>161925</xdr:rowOff>
    </xdr:from>
    <xdr:to>
      <xdr:col>5</xdr:col>
      <xdr:colOff>9525</xdr:colOff>
      <xdr:row>103</xdr:row>
      <xdr:rowOff>133350</xdr:rowOff>
    </xdr:to>
    <xdr:sp>
      <xdr:nvSpPr>
        <xdr:cNvPr id="5" name="Line 91"/>
        <xdr:cNvSpPr>
          <a:spLocks/>
        </xdr:cNvSpPr>
      </xdr:nvSpPr>
      <xdr:spPr>
        <a:xfrm flipH="1">
          <a:off x="2581275" y="17859375"/>
          <a:ext cx="21907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102</xdr:row>
      <xdr:rowOff>19050</xdr:rowOff>
    </xdr:from>
    <xdr:to>
      <xdr:col>12</xdr:col>
      <xdr:colOff>190500</xdr:colOff>
      <xdr:row>103</xdr:row>
      <xdr:rowOff>161925</xdr:rowOff>
    </xdr:to>
    <xdr:sp>
      <xdr:nvSpPr>
        <xdr:cNvPr id="6" name="Line 92"/>
        <xdr:cNvSpPr>
          <a:spLocks/>
        </xdr:cNvSpPr>
      </xdr:nvSpPr>
      <xdr:spPr>
        <a:xfrm flipH="1">
          <a:off x="5791200" y="17887950"/>
          <a:ext cx="1619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400050</xdr:colOff>
      <xdr:row>109</xdr:row>
      <xdr:rowOff>9525</xdr:rowOff>
    </xdr:from>
    <xdr:to>
      <xdr:col>1</xdr:col>
      <xdr:colOff>476250</xdr:colOff>
      <xdr:row>110</xdr:row>
      <xdr:rowOff>85725</xdr:rowOff>
    </xdr:to>
    <xdr:sp>
      <xdr:nvSpPr>
        <xdr:cNvPr id="7" name="Line 93"/>
        <xdr:cNvSpPr>
          <a:spLocks/>
        </xdr:cNvSpPr>
      </xdr:nvSpPr>
      <xdr:spPr>
        <a:xfrm flipH="1" flipV="1">
          <a:off x="733425" y="19288125"/>
          <a:ext cx="762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108</xdr:row>
      <xdr:rowOff>142875</xdr:rowOff>
    </xdr:from>
    <xdr:to>
      <xdr:col>2</xdr:col>
      <xdr:colOff>152400</xdr:colOff>
      <xdr:row>110</xdr:row>
      <xdr:rowOff>38100</xdr:rowOff>
    </xdr:to>
    <xdr:sp>
      <xdr:nvSpPr>
        <xdr:cNvPr id="8" name="Line 94"/>
        <xdr:cNvSpPr>
          <a:spLocks/>
        </xdr:cNvSpPr>
      </xdr:nvSpPr>
      <xdr:spPr>
        <a:xfrm flipH="1" flipV="1">
          <a:off x="1847850" y="19240500"/>
          <a:ext cx="762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109</xdr:row>
      <xdr:rowOff>66675</xdr:rowOff>
    </xdr:from>
    <xdr:to>
      <xdr:col>5</xdr:col>
      <xdr:colOff>19050</xdr:colOff>
      <xdr:row>112</xdr:row>
      <xdr:rowOff>76200</xdr:rowOff>
    </xdr:to>
    <xdr:sp>
      <xdr:nvSpPr>
        <xdr:cNvPr id="9" name="Line 95"/>
        <xdr:cNvSpPr>
          <a:spLocks/>
        </xdr:cNvSpPr>
      </xdr:nvSpPr>
      <xdr:spPr>
        <a:xfrm flipH="1" flipV="1">
          <a:off x="2800350" y="19345275"/>
          <a:ext cx="952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109</xdr:row>
      <xdr:rowOff>38100</xdr:rowOff>
    </xdr:from>
    <xdr:to>
      <xdr:col>8</xdr:col>
      <xdr:colOff>9525</xdr:colOff>
      <xdr:row>115</xdr:row>
      <xdr:rowOff>161925</xdr:rowOff>
    </xdr:to>
    <xdr:sp>
      <xdr:nvSpPr>
        <xdr:cNvPr id="10" name="Line 96"/>
        <xdr:cNvSpPr>
          <a:spLocks/>
        </xdr:cNvSpPr>
      </xdr:nvSpPr>
      <xdr:spPr>
        <a:xfrm flipH="1" flipV="1">
          <a:off x="4362450" y="19316700"/>
          <a:ext cx="19050" cy="1171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109</xdr:row>
      <xdr:rowOff>76200</xdr:rowOff>
    </xdr:from>
    <xdr:to>
      <xdr:col>10</xdr:col>
      <xdr:colOff>85725</xdr:colOff>
      <xdr:row>121</xdr:row>
      <xdr:rowOff>114300</xdr:rowOff>
    </xdr:to>
    <xdr:sp>
      <xdr:nvSpPr>
        <xdr:cNvPr id="11" name="Line 100"/>
        <xdr:cNvSpPr>
          <a:spLocks/>
        </xdr:cNvSpPr>
      </xdr:nvSpPr>
      <xdr:spPr>
        <a:xfrm flipH="1" flipV="1">
          <a:off x="5295900" y="19354800"/>
          <a:ext cx="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hokari@info-niigata.or.jp" TargetMode="External" /><Relationship Id="rId2" Type="http://schemas.openxmlformats.org/officeDocument/2006/relationships/hyperlink" Target="mailto:h-hokari@info-niigata.or.jp" TargetMode="External" /><Relationship Id="rId3" Type="http://schemas.openxmlformats.org/officeDocument/2006/relationships/hyperlink" Target="http://www.info-niigata.or.jp/~hge03447/mame/" TargetMode="External" /><Relationship Id="rId4" Type="http://schemas.openxmlformats.org/officeDocument/2006/relationships/hyperlink" Target="http://www.info-niigata.or.jp/~hge03447/mame/"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2:M150"/>
  <sheetViews>
    <sheetView zoomScalePageLayoutView="0" workbookViewId="0" topLeftCell="A1">
      <selection activeCell="L10" sqref="L10"/>
    </sheetView>
  </sheetViews>
  <sheetFormatPr defaultColWidth="9.00390625" defaultRowHeight="13.5"/>
  <cols>
    <col min="1" max="1" width="6.875" style="0" customWidth="1"/>
    <col min="10" max="10" width="9.125" style="0" bestFit="1" customWidth="1"/>
    <col min="11" max="11" width="10.25390625" style="0" bestFit="1" customWidth="1"/>
  </cols>
  <sheetData>
    <row r="2" spans="1:8" ht="13.5">
      <c r="A2" t="s">
        <v>86</v>
      </c>
      <c r="H2">
        <v>2009.3</v>
      </c>
    </row>
    <row r="4" spans="1:2" ht="13.5">
      <c r="A4">
        <v>1</v>
      </c>
      <c r="B4" t="s">
        <v>507</v>
      </c>
    </row>
    <row r="5" spans="1:2" ht="13.5">
      <c r="A5">
        <v>2</v>
      </c>
      <c r="B5" t="s">
        <v>87</v>
      </c>
    </row>
    <row r="6" spans="1:2" ht="13.5">
      <c r="A6">
        <v>3</v>
      </c>
      <c r="B6" t="s">
        <v>94</v>
      </c>
    </row>
    <row r="7" ht="13.5">
      <c r="B7" s="115" t="s">
        <v>164</v>
      </c>
    </row>
    <row r="8" ht="13.5">
      <c r="B8" s="129" t="s">
        <v>163</v>
      </c>
    </row>
    <row r="9" ht="13.5">
      <c r="A9" t="s">
        <v>88</v>
      </c>
    </row>
    <row r="10" ht="13.5">
      <c r="A10" t="s">
        <v>89</v>
      </c>
    </row>
    <row r="13" ht="14.25" thickBot="1"/>
    <row r="14" spans="2:11" ht="14.25" thickTop="1">
      <c r="B14" s="421" t="s">
        <v>37</v>
      </c>
      <c r="C14" s="423" t="s">
        <v>38</v>
      </c>
      <c r="D14" s="425" t="s">
        <v>39</v>
      </c>
      <c r="E14" s="427" t="s">
        <v>40</v>
      </c>
      <c r="F14" s="428"/>
      <c r="G14" s="425" t="s">
        <v>41</v>
      </c>
      <c r="H14" s="411" t="s">
        <v>45</v>
      </c>
      <c r="I14" s="412"/>
      <c r="J14" s="413" t="s">
        <v>42</v>
      </c>
      <c r="K14" s="413" t="s">
        <v>43</v>
      </c>
    </row>
    <row r="15" spans="2:11" ht="14.25" thickBot="1">
      <c r="B15" s="422"/>
      <c r="C15" s="424"/>
      <c r="D15" s="426"/>
      <c r="E15" s="429"/>
      <c r="F15" s="430"/>
      <c r="G15" s="426"/>
      <c r="H15" s="117" t="s">
        <v>91</v>
      </c>
      <c r="I15" s="118" t="s">
        <v>90</v>
      </c>
      <c r="J15" s="414"/>
      <c r="K15" s="415"/>
    </row>
    <row r="16" spans="2:11" ht="14.25" thickTop="1">
      <c r="B16" s="105" t="s">
        <v>47</v>
      </c>
      <c r="C16" s="106" t="s">
        <v>48</v>
      </c>
      <c r="D16" s="107"/>
      <c r="E16" s="108">
        <v>21</v>
      </c>
      <c r="F16" s="108">
        <v>4</v>
      </c>
      <c r="G16" s="109">
        <v>12000000</v>
      </c>
      <c r="H16" s="110">
        <v>12</v>
      </c>
      <c r="I16" s="111">
        <v>12</v>
      </c>
      <c r="J16" s="112"/>
      <c r="K16" s="113"/>
    </row>
    <row r="17" spans="2:11" ht="13.5">
      <c r="B17" s="59" t="s">
        <v>47</v>
      </c>
      <c r="C17" s="60" t="s">
        <v>48</v>
      </c>
      <c r="D17" s="61"/>
      <c r="E17" s="62">
        <v>21</v>
      </c>
      <c r="F17" s="62">
        <v>4</v>
      </c>
      <c r="G17" s="63">
        <v>12000000</v>
      </c>
      <c r="H17" s="64">
        <v>12</v>
      </c>
      <c r="I17" s="64">
        <v>12</v>
      </c>
      <c r="J17" s="65"/>
      <c r="K17" s="66"/>
    </row>
    <row r="18" spans="2:11" ht="13.5">
      <c r="B18" s="59" t="s">
        <v>50</v>
      </c>
      <c r="C18" s="60"/>
      <c r="D18" s="61"/>
      <c r="E18" s="62">
        <v>21</v>
      </c>
      <c r="F18" s="62">
        <v>4</v>
      </c>
      <c r="G18" s="63">
        <v>31000000</v>
      </c>
      <c r="H18" s="64">
        <v>7</v>
      </c>
      <c r="I18" s="64">
        <v>7</v>
      </c>
      <c r="J18" s="67"/>
      <c r="K18" s="66"/>
    </row>
    <row r="19" spans="2:11" ht="13.5">
      <c r="B19" s="59" t="s">
        <v>51</v>
      </c>
      <c r="C19" s="60"/>
      <c r="D19" s="61"/>
      <c r="E19" s="62">
        <v>10</v>
      </c>
      <c r="F19" s="62">
        <v>8</v>
      </c>
      <c r="G19" s="63">
        <v>1500000</v>
      </c>
      <c r="H19" s="64">
        <v>5</v>
      </c>
      <c r="I19" s="64">
        <v>5</v>
      </c>
      <c r="J19" s="65"/>
      <c r="K19" s="66"/>
    </row>
    <row r="20" spans="2:11" ht="13.5">
      <c r="B20" s="59" t="s">
        <v>52</v>
      </c>
      <c r="C20" s="60"/>
      <c r="D20" s="61"/>
      <c r="E20" s="62">
        <v>14</v>
      </c>
      <c r="F20" s="62">
        <v>9</v>
      </c>
      <c r="G20" s="63">
        <v>980000</v>
      </c>
      <c r="H20" s="64">
        <v>4</v>
      </c>
      <c r="I20" s="64">
        <v>4</v>
      </c>
      <c r="J20" s="65"/>
      <c r="K20" s="66"/>
    </row>
    <row r="21" spans="2:11" ht="13.5">
      <c r="B21" s="59" t="s">
        <v>53</v>
      </c>
      <c r="C21" s="60"/>
      <c r="D21" s="61"/>
      <c r="E21" s="62">
        <v>11</v>
      </c>
      <c r="F21" s="62">
        <v>5</v>
      </c>
      <c r="G21" s="63">
        <v>550000</v>
      </c>
      <c r="H21" s="64">
        <v>5</v>
      </c>
      <c r="I21" s="64">
        <v>5</v>
      </c>
      <c r="J21" s="67"/>
      <c r="K21" s="66"/>
    </row>
    <row r="22" spans="2:11" ht="13.5">
      <c r="B22" s="59" t="s">
        <v>54</v>
      </c>
      <c r="C22" s="60"/>
      <c r="D22" s="61"/>
      <c r="E22" s="62">
        <v>11</v>
      </c>
      <c r="F22" s="62">
        <v>4</v>
      </c>
      <c r="G22" s="63">
        <v>220000</v>
      </c>
      <c r="H22" s="64">
        <v>5</v>
      </c>
      <c r="I22" s="64">
        <v>5</v>
      </c>
      <c r="J22" s="65"/>
      <c r="K22" s="66"/>
    </row>
    <row r="23" spans="2:11" ht="13.5">
      <c r="B23" s="59" t="s">
        <v>55</v>
      </c>
      <c r="C23" s="60"/>
      <c r="D23" s="61"/>
      <c r="E23" s="62">
        <v>17</v>
      </c>
      <c r="F23" s="62">
        <v>4</v>
      </c>
      <c r="G23" s="63">
        <v>546000</v>
      </c>
      <c r="H23" s="64">
        <v>5</v>
      </c>
      <c r="I23" s="64">
        <v>5</v>
      </c>
      <c r="J23" s="67"/>
      <c r="K23" s="66"/>
    </row>
    <row r="24" spans="2:11" ht="13.5">
      <c r="B24" s="59" t="s">
        <v>56</v>
      </c>
      <c r="C24" s="60"/>
      <c r="D24" s="61"/>
      <c r="E24" s="62">
        <v>18</v>
      </c>
      <c r="F24" s="62">
        <v>6</v>
      </c>
      <c r="G24" s="63">
        <v>450000</v>
      </c>
      <c r="H24" s="64">
        <v>5</v>
      </c>
      <c r="I24" s="64">
        <v>5</v>
      </c>
      <c r="J24" s="65"/>
      <c r="K24" s="66"/>
    </row>
    <row r="25" spans="2:11" ht="13.5">
      <c r="B25" s="59" t="s">
        <v>57</v>
      </c>
      <c r="C25" s="60"/>
      <c r="D25" s="61"/>
      <c r="E25" s="62">
        <v>18</v>
      </c>
      <c r="F25" s="62">
        <v>6</v>
      </c>
      <c r="G25" s="63">
        <v>530000</v>
      </c>
      <c r="H25" s="64">
        <v>5</v>
      </c>
      <c r="I25" s="64">
        <v>5</v>
      </c>
      <c r="J25" s="65"/>
      <c r="K25" s="66"/>
    </row>
    <row r="26" spans="2:11" ht="13.5">
      <c r="B26" s="59"/>
      <c r="C26" s="60"/>
      <c r="D26" s="61"/>
      <c r="E26" s="62"/>
      <c r="F26" s="62"/>
      <c r="G26" s="63"/>
      <c r="H26" s="63"/>
      <c r="I26" s="64"/>
      <c r="J26" s="65"/>
      <c r="K26" s="66"/>
    </row>
    <row r="28" ht="13.5">
      <c r="J28" t="s">
        <v>360</v>
      </c>
    </row>
    <row r="29" ht="13.5">
      <c r="J29" s="114" t="s">
        <v>92</v>
      </c>
    </row>
    <row r="30" ht="13.5">
      <c r="B30" t="s">
        <v>93</v>
      </c>
    </row>
    <row r="31" spans="2:9" ht="13.5">
      <c r="B31" t="s">
        <v>95</v>
      </c>
      <c r="I31" s="114" t="s">
        <v>92</v>
      </c>
    </row>
    <row r="32" spans="2:6" ht="13.5">
      <c r="B32" t="s">
        <v>96</v>
      </c>
      <c r="F32" t="s">
        <v>97</v>
      </c>
    </row>
    <row r="33" spans="2:6" ht="13.5">
      <c r="B33" t="s">
        <v>175</v>
      </c>
      <c r="F33" t="s">
        <v>98</v>
      </c>
    </row>
    <row r="34" ht="13.5">
      <c r="B34" t="s">
        <v>359</v>
      </c>
    </row>
    <row r="36" spans="1:7" ht="13.5">
      <c r="A36" t="s">
        <v>176</v>
      </c>
      <c r="B36" t="s">
        <v>177</v>
      </c>
      <c r="C36" t="s">
        <v>178</v>
      </c>
      <c r="D36" t="s">
        <v>179</v>
      </c>
      <c r="E36">
        <v>900000</v>
      </c>
      <c r="G36" s="115" t="s">
        <v>575</v>
      </c>
    </row>
    <row r="37" spans="2:13" ht="13.5">
      <c r="B37" s="1" t="s">
        <v>202</v>
      </c>
      <c r="C37" s="1">
        <v>0.2</v>
      </c>
      <c r="D37" s="1">
        <v>0.142</v>
      </c>
      <c r="E37" s="1">
        <v>0.142</v>
      </c>
      <c r="F37" s="1">
        <v>0.142</v>
      </c>
      <c r="G37" s="1">
        <v>0.142</v>
      </c>
      <c r="H37" s="1">
        <v>0.142</v>
      </c>
      <c r="I37" s="1">
        <v>0.142</v>
      </c>
      <c r="J37" s="1">
        <v>0.142</v>
      </c>
      <c r="K37" s="1">
        <v>0.142</v>
      </c>
      <c r="L37" s="1">
        <v>0.142</v>
      </c>
      <c r="M37" s="1">
        <v>0.142</v>
      </c>
    </row>
    <row r="38" spans="2:13" ht="13.5">
      <c r="B38" s="128" t="s">
        <v>180</v>
      </c>
      <c r="C38" s="128" t="s">
        <v>181</v>
      </c>
      <c r="D38" s="128" t="s">
        <v>182</v>
      </c>
      <c r="E38" s="128" t="s">
        <v>183</v>
      </c>
      <c r="F38" s="128" t="s">
        <v>184</v>
      </c>
      <c r="G38" s="128" t="s">
        <v>185</v>
      </c>
      <c r="H38" s="128" t="s">
        <v>186</v>
      </c>
      <c r="I38" s="128" t="s">
        <v>187</v>
      </c>
      <c r="J38" s="128" t="s">
        <v>28</v>
      </c>
      <c r="K38" s="128" t="s">
        <v>29</v>
      </c>
      <c r="L38" s="128" t="s">
        <v>30</v>
      </c>
      <c r="M38" s="128" t="s">
        <v>577</v>
      </c>
    </row>
    <row r="39" spans="1:13" ht="13.5">
      <c r="A39" s="1" t="s">
        <v>188</v>
      </c>
      <c r="B39" s="1">
        <v>150000</v>
      </c>
      <c r="C39" s="1">
        <v>180000</v>
      </c>
      <c r="D39" s="1">
        <f>$E$36*D37</f>
        <v>127799.99999999999</v>
      </c>
      <c r="E39" s="1">
        <f>$E$36*E37</f>
        <v>127799.99999999999</v>
      </c>
      <c r="F39" s="1">
        <f>$E$36*F37</f>
        <v>127799.99999999999</v>
      </c>
      <c r="G39" s="1">
        <f>$E$36*G37</f>
        <v>127799.99999999999</v>
      </c>
      <c r="H39" s="1">
        <f>$E$36*H37-19000</f>
        <v>108799.99999999999</v>
      </c>
      <c r="I39" s="1">
        <v>10000</v>
      </c>
      <c r="J39" s="1">
        <v>10000</v>
      </c>
      <c r="K39" s="1">
        <v>10000</v>
      </c>
      <c r="L39" s="1">
        <v>10000</v>
      </c>
      <c r="M39" s="1">
        <v>9999</v>
      </c>
    </row>
    <row r="40" spans="1:13" ht="13.5">
      <c r="A40" s="1" t="s">
        <v>20</v>
      </c>
      <c r="B40" s="1">
        <f>1000000-B39</f>
        <v>850000</v>
      </c>
      <c r="C40" s="1">
        <f>B40-C39</f>
        <v>670000</v>
      </c>
      <c r="D40" s="1">
        <f aca="true" t="shared" si="0" ref="D40:J40">C40-D39</f>
        <v>542200</v>
      </c>
      <c r="E40" s="1">
        <f t="shared" si="0"/>
        <v>414400</v>
      </c>
      <c r="F40" s="1">
        <f t="shared" si="0"/>
        <v>286600</v>
      </c>
      <c r="G40" s="1">
        <f t="shared" si="0"/>
        <v>158800</v>
      </c>
      <c r="H40" s="1">
        <f t="shared" si="0"/>
        <v>50000.000000000015</v>
      </c>
      <c r="I40" s="1">
        <f t="shared" si="0"/>
        <v>40000.000000000015</v>
      </c>
      <c r="J40" s="1">
        <f t="shared" si="0"/>
        <v>30000.000000000015</v>
      </c>
      <c r="K40" s="1">
        <f>J40-K39</f>
        <v>20000.000000000015</v>
      </c>
      <c r="L40" s="1">
        <f>K40-L39</f>
        <v>10000.000000000015</v>
      </c>
      <c r="M40" s="1">
        <f>L40-M39</f>
        <v>1.000000000014552</v>
      </c>
    </row>
    <row r="42" spans="1:13" ht="13.5">
      <c r="A42" s="1" t="s">
        <v>173</v>
      </c>
      <c r="B42" s="1" t="s">
        <v>189</v>
      </c>
      <c r="C42" s="1" t="s">
        <v>190</v>
      </c>
      <c r="D42" s="1" t="s">
        <v>190</v>
      </c>
      <c r="E42" s="1" t="s">
        <v>190</v>
      </c>
      <c r="F42" s="1" t="s">
        <v>190</v>
      </c>
      <c r="G42" s="1" t="s">
        <v>190</v>
      </c>
      <c r="H42" s="125" t="s">
        <v>193</v>
      </c>
      <c r="I42" s="126" t="s">
        <v>194</v>
      </c>
      <c r="J42" s="1" t="s">
        <v>194</v>
      </c>
      <c r="K42" s="1" t="s">
        <v>194</v>
      </c>
      <c r="L42" s="1" t="s">
        <v>194</v>
      </c>
      <c r="M42" s="127" t="s">
        <v>195</v>
      </c>
    </row>
    <row r="43" spans="1:13" ht="13.5">
      <c r="A43" s="1" t="s">
        <v>173</v>
      </c>
      <c r="B43" s="1" t="s">
        <v>165</v>
      </c>
      <c r="C43" s="1" t="s">
        <v>165</v>
      </c>
      <c r="D43" s="1" t="s">
        <v>165</v>
      </c>
      <c r="E43" s="1" t="s">
        <v>165</v>
      </c>
      <c r="F43" s="1" t="s">
        <v>165</v>
      </c>
      <c r="G43" s="1" t="s">
        <v>165</v>
      </c>
      <c r="H43" s="1" t="s">
        <v>165</v>
      </c>
      <c r="I43" s="1" t="s">
        <v>165</v>
      </c>
      <c r="J43" s="1" t="s">
        <v>165</v>
      </c>
      <c r="K43" s="1" t="s">
        <v>165</v>
      </c>
      <c r="L43" s="1" t="s">
        <v>165</v>
      </c>
      <c r="M43" s="1" t="s">
        <v>165</v>
      </c>
    </row>
    <row r="44" spans="1:13" ht="13.5">
      <c r="A44" s="1"/>
      <c r="B44" s="1" t="s">
        <v>191</v>
      </c>
      <c r="C44" s="1" t="s">
        <v>191</v>
      </c>
      <c r="D44" s="1" t="s">
        <v>191</v>
      </c>
      <c r="E44" s="1" t="s">
        <v>191</v>
      </c>
      <c r="F44" s="1" t="s">
        <v>191</v>
      </c>
      <c r="G44" s="1" t="s">
        <v>191</v>
      </c>
      <c r="H44" s="1" t="s">
        <v>191</v>
      </c>
      <c r="I44" s="1">
        <v>0.2</v>
      </c>
      <c r="J44" s="1">
        <v>0.2</v>
      </c>
      <c r="K44" s="1">
        <v>0.2</v>
      </c>
      <c r="L44" s="1">
        <v>0.2</v>
      </c>
      <c r="M44" s="1">
        <v>0.2</v>
      </c>
    </row>
    <row r="45" spans="1:13" ht="13.5">
      <c r="A45" s="1"/>
      <c r="B45" s="1"/>
      <c r="C45" s="1"/>
      <c r="D45" s="1"/>
      <c r="E45" s="1"/>
      <c r="F45" s="1"/>
      <c r="G45" s="1"/>
      <c r="H45" s="1"/>
      <c r="I45" s="1"/>
      <c r="J45" s="1"/>
      <c r="K45" s="1"/>
      <c r="L45" s="1"/>
      <c r="M45" s="1"/>
    </row>
    <row r="46" spans="1:13" ht="13.5">
      <c r="A46" s="1"/>
      <c r="B46" s="1"/>
      <c r="C46" s="1"/>
      <c r="D46" s="1"/>
      <c r="E46" s="1"/>
      <c r="F46" s="1"/>
      <c r="G46" s="1"/>
      <c r="H46" s="1"/>
      <c r="I46" s="1"/>
      <c r="J46" s="1"/>
      <c r="K46" s="1"/>
      <c r="L46" s="1"/>
      <c r="M46" s="1"/>
    </row>
    <row r="47" spans="1:13" ht="13.5">
      <c r="A47" s="1"/>
      <c r="B47" s="1" t="s">
        <v>196</v>
      </c>
      <c r="C47" s="1" t="s">
        <v>197</v>
      </c>
      <c r="D47" s="1"/>
      <c r="E47" s="1"/>
      <c r="F47" s="1"/>
      <c r="G47" s="1"/>
      <c r="H47" s="1" t="s">
        <v>198</v>
      </c>
      <c r="I47" s="1" t="s">
        <v>199</v>
      </c>
      <c r="J47" s="1"/>
      <c r="K47" s="1"/>
      <c r="L47" s="1"/>
      <c r="M47" s="1" t="s">
        <v>200</v>
      </c>
    </row>
    <row r="48" spans="1:13" ht="13.5">
      <c r="A48" s="116" t="s">
        <v>201</v>
      </c>
      <c r="B48" s="1">
        <v>1</v>
      </c>
      <c r="C48" s="1">
        <v>2</v>
      </c>
      <c r="D48" s="1">
        <v>3</v>
      </c>
      <c r="E48" s="1">
        <v>4</v>
      </c>
      <c r="F48" s="1">
        <v>5</v>
      </c>
      <c r="G48" s="1">
        <v>6</v>
      </c>
      <c r="H48" s="1">
        <v>7</v>
      </c>
      <c r="I48" s="1">
        <v>8</v>
      </c>
      <c r="J48" s="1">
        <v>9</v>
      </c>
      <c r="K48" s="1">
        <v>10</v>
      </c>
      <c r="L48" s="1">
        <v>11</v>
      </c>
      <c r="M48" s="1">
        <v>12</v>
      </c>
    </row>
    <row r="50" spans="1:8" ht="13.5">
      <c r="A50" s="115" t="s">
        <v>203</v>
      </c>
      <c r="C50" s="130" t="s">
        <v>207</v>
      </c>
      <c r="D50" s="130"/>
      <c r="E50" s="130"/>
      <c r="F50" s="130"/>
      <c r="H50" s="130" t="s">
        <v>211</v>
      </c>
    </row>
    <row r="51" spans="2:9" ht="13.5">
      <c r="B51" s="130" t="s">
        <v>204</v>
      </c>
      <c r="I51" s="130" t="s">
        <v>212</v>
      </c>
    </row>
    <row r="52" spans="1:6" ht="13.5">
      <c r="A52" t="s">
        <v>205</v>
      </c>
      <c r="B52" t="s">
        <v>206</v>
      </c>
      <c r="F52" s="130" t="s">
        <v>208</v>
      </c>
    </row>
    <row r="53" ht="13.5">
      <c r="F53" t="s">
        <v>209</v>
      </c>
    </row>
    <row r="54" ht="13.5">
      <c r="F54" t="s">
        <v>210</v>
      </c>
    </row>
    <row r="57" spans="3:5" ht="13.5">
      <c r="C57" s="131" t="s">
        <v>213</v>
      </c>
      <c r="E57" t="s">
        <v>221</v>
      </c>
    </row>
    <row r="59" ht="13.5">
      <c r="A59" s="418" t="s">
        <v>214</v>
      </c>
    </row>
    <row r="60" spans="1:13" ht="13.5">
      <c r="A60" s="418"/>
      <c r="B60" s="131" t="s">
        <v>191</v>
      </c>
      <c r="C60" s="131" t="s">
        <v>361</v>
      </c>
      <c r="D60" s="131" t="s">
        <v>191</v>
      </c>
      <c r="E60" s="131" t="s">
        <v>362</v>
      </c>
      <c r="F60" s="131" t="s">
        <v>191</v>
      </c>
      <c r="G60" s="131" t="s">
        <v>191</v>
      </c>
      <c r="H60" s="131" t="s">
        <v>215</v>
      </c>
      <c r="I60" s="131"/>
      <c r="J60" s="131"/>
      <c r="K60" s="131" t="s">
        <v>216</v>
      </c>
      <c r="L60" s="131"/>
      <c r="M60" s="131"/>
    </row>
    <row r="61" spans="1:5" ht="13.5">
      <c r="A61" s="418"/>
      <c r="E61" s="132" t="s">
        <v>220</v>
      </c>
    </row>
    <row r="62" ht="13.5">
      <c r="B62" s="418" t="s">
        <v>217</v>
      </c>
    </row>
    <row r="63" spans="2:13" ht="13.5">
      <c r="B63" s="418"/>
      <c r="C63" s="131" t="s">
        <v>192</v>
      </c>
      <c r="D63" s="131" t="s">
        <v>192</v>
      </c>
      <c r="E63" s="131" t="s">
        <v>219</v>
      </c>
      <c r="F63" s="131" t="s">
        <v>192</v>
      </c>
      <c r="G63" s="131" t="s">
        <v>192</v>
      </c>
      <c r="H63" s="131" t="s">
        <v>215</v>
      </c>
      <c r="I63" s="131"/>
      <c r="J63" s="131"/>
      <c r="K63" s="131" t="s">
        <v>218</v>
      </c>
      <c r="L63" s="131"/>
      <c r="M63" s="131"/>
    </row>
    <row r="64" ht="13.5">
      <c r="B64" s="418"/>
    </row>
    <row r="67" ht="13.5">
      <c r="B67" t="s">
        <v>363</v>
      </c>
    </row>
    <row r="69" ht="13.5">
      <c r="B69" t="s">
        <v>364</v>
      </c>
    </row>
    <row r="70" spans="2:13" ht="46.5" customHeight="1">
      <c r="B70" s="419" t="s">
        <v>365</v>
      </c>
      <c r="C70" s="420"/>
      <c r="D70" s="420"/>
      <c r="E70" s="416" t="s">
        <v>366</v>
      </c>
      <c r="F70" s="417"/>
      <c r="G70" s="417"/>
      <c r="H70" s="265" t="s">
        <v>367</v>
      </c>
      <c r="I70" s="266"/>
      <c r="J70" s="266"/>
      <c r="K70" s="266"/>
      <c r="L70" s="266"/>
      <c r="M70" s="267"/>
    </row>
    <row r="71" ht="13.5">
      <c r="B71" t="s">
        <v>368</v>
      </c>
    </row>
    <row r="72" ht="13.5">
      <c r="B72" t="s">
        <v>369</v>
      </c>
    </row>
    <row r="73" spans="2:10" ht="13.5">
      <c r="B73" t="s">
        <v>370</v>
      </c>
      <c r="J73" t="s">
        <v>372</v>
      </c>
    </row>
    <row r="74" ht="13.5">
      <c r="B74" t="s">
        <v>371</v>
      </c>
    </row>
    <row r="75" spans="2:5" ht="13.5">
      <c r="B75" t="s">
        <v>377</v>
      </c>
      <c r="E75" t="s">
        <v>378</v>
      </c>
    </row>
    <row r="77" spans="8:11" ht="13.5">
      <c r="H77" s="1" t="s">
        <v>379</v>
      </c>
      <c r="I77" s="1">
        <v>0.062</v>
      </c>
      <c r="J77" s="2">
        <v>558000</v>
      </c>
      <c r="K77" s="2">
        <f>10000000-J77</f>
        <v>9442000</v>
      </c>
    </row>
    <row r="78" spans="8:11" ht="13.5">
      <c r="H78" s="1" t="s">
        <v>380</v>
      </c>
      <c r="I78" s="1">
        <v>0.062</v>
      </c>
      <c r="J78" s="2">
        <v>558000</v>
      </c>
      <c r="K78" s="2">
        <f>K77-J78</f>
        <v>8884000</v>
      </c>
    </row>
    <row r="79" spans="8:11" ht="13.5">
      <c r="H79" s="1" t="s">
        <v>381</v>
      </c>
      <c r="I79" s="1">
        <v>0.066</v>
      </c>
      <c r="J79" s="2">
        <v>558000</v>
      </c>
      <c r="K79" s="2">
        <f>K78-J79</f>
        <v>8326000</v>
      </c>
    </row>
    <row r="80" spans="8:11" ht="13.5">
      <c r="H80" s="1" t="s">
        <v>382</v>
      </c>
      <c r="I80" s="1">
        <v>0.066</v>
      </c>
      <c r="J80" s="2">
        <v>594000</v>
      </c>
      <c r="K80" s="2">
        <f>K79-J80</f>
        <v>7732000</v>
      </c>
    </row>
    <row r="81" spans="8:11" ht="13.5">
      <c r="H81" s="1" t="s">
        <v>383</v>
      </c>
      <c r="I81" s="269" t="s">
        <v>202</v>
      </c>
      <c r="J81" s="1" t="s">
        <v>384</v>
      </c>
      <c r="K81" s="1" t="s">
        <v>286</v>
      </c>
    </row>
    <row r="84" spans="2:13" ht="21" customHeight="1">
      <c r="B84" s="418" t="s">
        <v>376</v>
      </c>
      <c r="C84" s="418"/>
      <c r="D84" s="418"/>
      <c r="E84" s="418"/>
      <c r="F84" s="418"/>
      <c r="G84" s="418"/>
      <c r="H84" s="418"/>
      <c r="I84" s="418"/>
      <c r="J84" s="418"/>
      <c r="K84" s="418"/>
      <c r="L84" s="418"/>
      <c r="M84" s="418"/>
    </row>
    <row r="85" spans="2:13" ht="13.5">
      <c r="B85" s="418"/>
      <c r="C85" s="418"/>
      <c r="D85" s="418"/>
      <c r="E85" s="418"/>
      <c r="F85" s="418"/>
      <c r="G85" s="418"/>
      <c r="H85" s="418"/>
      <c r="I85" s="418"/>
      <c r="J85" s="418"/>
      <c r="K85" s="418"/>
      <c r="L85" s="418"/>
      <c r="M85" s="418"/>
    </row>
    <row r="87" spans="2:7" ht="13.5">
      <c r="B87" t="s">
        <v>385</v>
      </c>
      <c r="G87" t="s">
        <v>413</v>
      </c>
    </row>
    <row r="88" spans="2:7" ht="13.5">
      <c r="B88" t="s">
        <v>403</v>
      </c>
      <c r="G88" t="s">
        <v>414</v>
      </c>
    </row>
    <row r="89" spans="2:7" ht="13.5">
      <c r="B89" t="s">
        <v>386</v>
      </c>
      <c r="G89" t="s">
        <v>415</v>
      </c>
    </row>
    <row r="90" spans="2:10" ht="13.5">
      <c r="B90" s="1" t="s">
        <v>77</v>
      </c>
      <c r="C90" s="1" t="s">
        <v>387</v>
      </c>
      <c r="D90" s="1" t="s">
        <v>388</v>
      </c>
      <c r="E90" s="1" t="s">
        <v>389</v>
      </c>
      <c r="G90" s="1" t="s">
        <v>77</v>
      </c>
      <c r="H90" s="1" t="s">
        <v>387</v>
      </c>
      <c r="I90" s="1" t="s">
        <v>388</v>
      </c>
      <c r="J90" s="1" t="s">
        <v>389</v>
      </c>
    </row>
    <row r="91" spans="2:10" ht="13.5">
      <c r="B91" s="1" t="s">
        <v>390</v>
      </c>
      <c r="C91" s="1">
        <v>0.062</v>
      </c>
      <c r="D91" s="1">
        <f>1000000*0.9*C91</f>
        <v>55800</v>
      </c>
      <c r="E91" s="1">
        <f>1000000-D91</f>
        <v>944200</v>
      </c>
      <c r="G91" s="1" t="s">
        <v>393</v>
      </c>
      <c r="H91" s="1">
        <v>0.066</v>
      </c>
      <c r="I91" s="1">
        <f>1000000*0.9*H91</f>
        <v>59400</v>
      </c>
      <c r="J91" s="1">
        <f>1000000-I91</f>
        <v>940600</v>
      </c>
    </row>
    <row r="92" spans="2:10" ht="13.5">
      <c r="B92" s="1" t="s">
        <v>316</v>
      </c>
      <c r="C92" s="1">
        <v>0.062</v>
      </c>
      <c r="D92" s="1">
        <f aca="true" t="shared" si="1" ref="D92:D106">1000000*0.9*C92</f>
        <v>55800</v>
      </c>
      <c r="E92" s="1">
        <f>E91-D92</f>
        <v>888400</v>
      </c>
      <c r="G92" s="1" t="s">
        <v>394</v>
      </c>
      <c r="H92" s="1">
        <v>0.066</v>
      </c>
      <c r="I92" s="1">
        <f aca="true" t="shared" si="2" ref="I92:I105">1000000*0.9*H92</f>
        <v>59400</v>
      </c>
      <c r="J92" s="1">
        <f>J91-I92</f>
        <v>881200</v>
      </c>
    </row>
    <row r="93" spans="2:10" ht="13.5">
      <c r="B93" s="1" t="s">
        <v>391</v>
      </c>
      <c r="C93" s="1">
        <v>0.062</v>
      </c>
      <c r="D93" s="1">
        <f t="shared" si="1"/>
        <v>55800</v>
      </c>
      <c r="E93" s="1">
        <f aca="true" t="shared" si="3" ref="E93:E104">E92-D93</f>
        <v>832600</v>
      </c>
      <c r="G93" s="1" t="s">
        <v>395</v>
      </c>
      <c r="H93" s="1">
        <v>0.066</v>
      </c>
      <c r="I93" s="1">
        <f t="shared" si="2"/>
        <v>59400</v>
      </c>
      <c r="J93" s="1">
        <f aca="true" t="shared" si="4" ref="J93:J111">J92-I93</f>
        <v>821800</v>
      </c>
    </row>
    <row r="94" spans="2:10" ht="13.5">
      <c r="B94" s="1" t="s">
        <v>392</v>
      </c>
      <c r="C94" s="1">
        <v>0.066</v>
      </c>
      <c r="D94" s="1">
        <f t="shared" si="1"/>
        <v>59400</v>
      </c>
      <c r="E94" s="1">
        <f t="shared" si="3"/>
        <v>773200</v>
      </c>
      <c r="G94" s="1" t="s">
        <v>396</v>
      </c>
      <c r="H94" s="1">
        <v>0.066</v>
      </c>
      <c r="I94" s="1">
        <f t="shared" si="2"/>
        <v>59400</v>
      </c>
      <c r="J94" s="1">
        <f t="shared" si="4"/>
        <v>762400</v>
      </c>
    </row>
    <row r="95" spans="2:10" ht="13.5">
      <c r="B95" s="1" t="s">
        <v>393</v>
      </c>
      <c r="C95" s="1">
        <v>0.066</v>
      </c>
      <c r="D95" s="1">
        <f t="shared" si="1"/>
        <v>59400</v>
      </c>
      <c r="E95" s="1">
        <f t="shared" si="3"/>
        <v>713800</v>
      </c>
      <c r="G95" s="1" t="s">
        <v>397</v>
      </c>
      <c r="H95" s="1">
        <v>0.066</v>
      </c>
      <c r="I95" s="1">
        <f t="shared" si="2"/>
        <v>59400</v>
      </c>
      <c r="J95" s="1">
        <f t="shared" si="4"/>
        <v>703000</v>
      </c>
    </row>
    <row r="96" spans="2:10" ht="13.5">
      <c r="B96" s="1" t="s">
        <v>394</v>
      </c>
      <c r="C96" s="1">
        <v>0.066</v>
      </c>
      <c r="D96" s="1">
        <f t="shared" si="1"/>
        <v>59400</v>
      </c>
      <c r="E96" s="1">
        <f t="shared" si="3"/>
        <v>654400</v>
      </c>
      <c r="G96" s="1" t="s">
        <v>398</v>
      </c>
      <c r="H96" s="1">
        <v>0.066</v>
      </c>
      <c r="I96" s="1">
        <f t="shared" si="2"/>
        <v>59400</v>
      </c>
      <c r="J96" s="1">
        <f t="shared" si="4"/>
        <v>643600</v>
      </c>
    </row>
    <row r="97" spans="2:10" ht="13.5">
      <c r="B97" s="1" t="s">
        <v>395</v>
      </c>
      <c r="C97" s="1">
        <v>0.066</v>
      </c>
      <c r="D97" s="1">
        <f t="shared" si="1"/>
        <v>59400</v>
      </c>
      <c r="E97" s="1">
        <f t="shared" si="3"/>
        <v>595000</v>
      </c>
      <c r="G97" s="1" t="s">
        <v>399</v>
      </c>
      <c r="H97" s="1">
        <v>0.066</v>
      </c>
      <c r="I97" s="1">
        <f t="shared" si="2"/>
        <v>59400</v>
      </c>
      <c r="J97" s="1">
        <f t="shared" si="4"/>
        <v>584200</v>
      </c>
    </row>
    <row r="98" spans="2:10" ht="13.5">
      <c r="B98" s="1" t="s">
        <v>396</v>
      </c>
      <c r="C98" s="1">
        <v>0.066</v>
      </c>
      <c r="D98" s="1">
        <f t="shared" si="1"/>
        <v>59400</v>
      </c>
      <c r="E98" s="1">
        <f t="shared" si="3"/>
        <v>535600</v>
      </c>
      <c r="G98" s="1" t="s">
        <v>400</v>
      </c>
      <c r="H98" s="1">
        <v>0.066</v>
      </c>
      <c r="I98" s="1">
        <f t="shared" si="2"/>
        <v>59400</v>
      </c>
      <c r="J98" s="1">
        <f t="shared" si="4"/>
        <v>524800</v>
      </c>
    </row>
    <row r="99" spans="2:10" ht="13.5">
      <c r="B99" s="1" t="s">
        <v>397</v>
      </c>
      <c r="C99" s="1">
        <v>0.066</v>
      </c>
      <c r="D99" s="1">
        <f t="shared" si="1"/>
        <v>59400</v>
      </c>
      <c r="E99" s="1">
        <f t="shared" si="3"/>
        <v>476200</v>
      </c>
      <c r="G99" s="1" t="s">
        <v>401</v>
      </c>
      <c r="H99" s="1">
        <v>0.066</v>
      </c>
      <c r="I99" s="1">
        <f t="shared" si="2"/>
        <v>59400</v>
      </c>
      <c r="J99" s="1">
        <f t="shared" si="4"/>
        <v>465400</v>
      </c>
    </row>
    <row r="100" spans="2:10" ht="13.5">
      <c r="B100" s="1" t="s">
        <v>398</v>
      </c>
      <c r="C100" s="1">
        <v>0.066</v>
      </c>
      <c r="D100" s="1">
        <f t="shared" si="1"/>
        <v>59400</v>
      </c>
      <c r="E100" s="1">
        <f t="shared" si="3"/>
        <v>416800</v>
      </c>
      <c r="G100" s="1" t="s">
        <v>402</v>
      </c>
      <c r="H100" s="1">
        <v>0.066</v>
      </c>
      <c r="I100" s="1">
        <f t="shared" si="2"/>
        <v>59400</v>
      </c>
      <c r="J100" s="1">
        <f t="shared" si="4"/>
        <v>406000</v>
      </c>
    </row>
    <row r="101" spans="2:10" ht="13.5">
      <c r="B101" s="1" t="s">
        <v>399</v>
      </c>
      <c r="C101" s="1">
        <v>0.066</v>
      </c>
      <c r="D101" s="1">
        <f t="shared" si="1"/>
        <v>59400</v>
      </c>
      <c r="E101" s="1">
        <f t="shared" si="3"/>
        <v>357400</v>
      </c>
      <c r="G101" s="1" t="s">
        <v>404</v>
      </c>
      <c r="H101" s="1">
        <v>0.066</v>
      </c>
      <c r="I101" s="1">
        <f t="shared" si="2"/>
        <v>59400</v>
      </c>
      <c r="J101" s="1">
        <f t="shared" si="4"/>
        <v>346600</v>
      </c>
    </row>
    <row r="102" spans="2:10" ht="13.5">
      <c r="B102" s="1" t="s">
        <v>400</v>
      </c>
      <c r="C102" s="1">
        <v>0.066</v>
      </c>
      <c r="D102" s="1">
        <f t="shared" si="1"/>
        <v>59400</v>
      </c>
      <c r="E102" s="1">
        <f t="shared" si="3"/>
        <v>298000</v>
      </c>
      <c r="G102" s="1" t="s">
        <v>405</v>
      </c>
      <c r="H102" s="1">
        <v>0.066</v>
      </c>
      <c r="I102" s="1">
        <f t="shared" si="2"/>
        <v>59400</v>
      </c>
      <c r="J102" s="1">
        <f t="shared" si="4"/>
        <v>287200</v>
      </c>
    </row>
    <row r="103" spans="2:10" ht="13.5">
      <c r="B103" s="1" t="s">
        <v>401</v>
      </c>
      <c r="C103" s="1">
        <v>0.066</v>
      </c>
      <c r="D103" s="1">
        <f t="shared" si="1"/>
        <v>59400</v>
      </c>
      <c r="E103" s="1">
        <f t="shared" si="3"/>
        <v>238600</v>
      </c>
      <c r="G103" s="1" t="s">
        <v>406</v>
      </c>
      <c r="H103" s="1">
        <v>0.066</v>
      </c>
      <c r="I103" s="1">
        <f t="shared" si="2"/>
        <v>59400</v>
      </c>
      <c r="J103" s="1">
        <f t="shared" si="4"/>
        <v>227800</v>
      </c>
    </row>
    <row r="104" spans="2:10" ht="13.5">
      <c r="B104" s="1" t="s">
        <v>402</v>
      </c>
      <c r="C104" s="1">
        <v>0.066</v>
      </c>
      <c r="D104" s="1">
        <f t="shared" si="1"/>
        <v>59400</v>
      </c>
      <c r="E104" s="1">
        <f t="shared" si="3"/>
        <v>179200</v>
      </c>
      <c r="G104" s="248" t="s">
        <v>407</v>
      </c>
      <c r="H104" s="1">
        <v>0.066</v>
      </c>
      <c r="I104" s="1">
        <f t="shared" si="2"/>
        <v>59400</v>
      </c>
      <c r="J104" s="1">
        <f t="shared" si="4"/>
        <v>168400</v>
      </c>
    </row>
    <row r="105" spans="2:10" ht="13.5">
      <c r="B105" s="1" t="s">
        <v>404</v>
      </c>
      <c r="C105" s="1">
        <v>0.066</v>
      </c>
      <c r="D105" s="1">
        <f t="shared" si="1"/>
        <v>59400</v>
      </c>
      <c r="E105" s="1">
        <f aca="true" t="shared" si="5" ref="E105:E112">E104-D105</f>
        <v>119800</v>
      </c>
      <c r="G105" s="248" t="s">
        <v>409</v>
      </c>
      <c r="H105" s="1">
        <v>0.066</v>
      </c>
      <c r="I105" s="1">
        <f t="shared" si="2"/>
        <v>59400</v>
      </c>
      <c r="J105" s="1">
        <f t="shared" si="4"/>
        <v>109000</v>
      </c>
    </row>
    <row r="106" spans="2:10" ht="13.5">
      <c r="B106" s="1" t="s">
        <v>405</v>
      </c>
      <c r="C106" s="1">
        <v>0.066</v>
      </c>
      <c r="D106" s="1">
        <f t="shared" si="1"/>
        <v>59400</v>
      </c>
      <c r="E106" s="1">
        <f t="shared" si="5"/>
        <v>60400</v>
      </c>
      <c r="G106" s="248" t="s">
        <v>410</v>
      </c>
      <c r="H106" s="1">
        <v>0.066</v>
      </c>
      <c r="I106" s="1">
        <v>59000</v>
      </c>
      <c r="J106" s="1">
        <f t="shared" si="4"/>
        <v>50000</v>
      </c>
    </row>
    <row r="107" spans="2:10" ht="13.5">
      <c r="B107" s="1" t="s">
        <v>406</v>
      </c>
      <c r="C107" s="1">
        <v>0.066</v>
      </c>
      <c r="D107" s="1">
        <v>10400</v>
      </c>
      <c r="E107" s="1">
        <f t="shared" si="5"/>
        <v>50000</v>
      </c>
      <c r="G107" s="248" t="s">
        <v>411</v>
      </c>
      <c r="H107" s="1" t="s">
        <v>408</v>
      </c>
      <c r="I107" s="1">
        <v>10000</v>
      </c>
      <c r="J107" s="1">
        <f t="shared" si="4"/>
        <v>40000</v>
      </c>
    </row>
    <row r="108" spans="2:10" ht="13.5">
      <c r="B108" s="248" t="s">
        <v>407</v>
      </c>
      <c r="C108" s="1" t="s">
        <v>408</v>
      </c>
      <c r="D108" s="1">
        <v>10000</v>
      </c>
      <c r="E108" s="1">
        <f t="shared" si="5"/>
        <v>40000</v>
      </c>
      <c r="G108" s="248" t="s">
        <v>412</v>
      </c>
      <c r="H108" s="1" t="s">
        <v>408</v>
      </c>
      <c r="I108" s="1">
        <v>10000</v>
      </c>
      <c r="J108" s="1">
        <f t="shared" si="4"/>
        <v>30000</v>
      </c>
    </row>
    <row r="109" spans="2:10" ht="13.5">
      <c r="B109" s="248" t="s">
        <v>409</v>
      </c>
      <c r="C109" s="1" t="s">
        <v>408</v>
      </c>
      <c r="D109" s="1">
        <v>10000</v>
      </c>
      <c r="E109" s="1">
        <f t="shared" si="5"/>
        <v>30000</v>
      </c>
      <c r="G109" s="248" t="s">
        <v>428</v>
      </c>
      <c r="H109" s="1" t="s">
        <v>408</v>
      </c>
      <c r="I109" s="1">
        <v>10000</v>
      </c>
      <c r="J109" s="1">
        <f t="shared" si="4"/>
        <v>20000</v>
      </c>
    </row>
    <row r="110" spans="2:10" ht="13.5">
      <c r="B110" s="248" t="s">
        <v>410</v>
      </c>
      <c r="C110" s="1" t="s">
        <v>408</v>
      </c>
      <c r="D110" s="1">
        <v>10000</v>
      </c>
      <c r="E110" s="1">
        <f t="shared" si="5"/>
        <v>20000</v>
      </c>
      <c r="G110" s="248" t="s">
        <v>450</v>
      </c>
      <c r="H110" s="1" t="s">
        <v>408</v>
      </c>
      <c r="I110" s="1">
        <v>10000</v>
      </c>
      <c r="J110" s="1">
        <f t="shared" si="4"/>
        <v>10000</v>
      </c>
    </row>
    <row r="111" spans="2:10" ht="13.5">
      <c r="B111" s="248" t="s">
        <v>411</v>
      </c>
      <c r="C111" s="1" t="s">
        <v>408</v>
      </c>
      <c r="D111" s="1">
        <v>10000</v>
      </c>
      <c r="E111" s="1">
        <f t="shared" si="5"/>
        <v>10000</v>
      </c>
      <c r="G111" s="248" t="s">
        <v>451</v>
      </c>
      <c r="H111" s="1" t="s">
        <v>408</v>
      </c>
      <c r="I111" s="1">
        <v>9999</v>
      </c>
      <c r="J111" s="1">
        <f t="shared" si="4"/>
        <v>1</v>
      </c>
    </row>
    <row r="112" spans="2:10" ht="13.5">
      <c r="B112" s="248" t="s">
        <v>412</v>
      </c>
      <c r="C112" s="1" t="s">
        <v>408</v>
      </c>
      <c r="D112" s="1">
        <v>9999</v>
      </c>
      <c r="E112" s="1">
        <f t="shared" si="5"/>
        <v>1</v>
      </c>
      <c r="G112" s="248"/>
      <c r="H112" s="1"/>
      <c r="I112" s="1"/>
      <c r="J112" s="1"/>
    </row>
    <row r="114" spans="2:7" ht="13.5">
      <c r="B114" t="s">
        <v>416</v>
      </c>
      <c r="G114" t="s">
        <v>423</v>
      </c>
    </row>
    <row r="115" spans="2:7" ht="13.5">
      <c r="B115" t="s">
        <v>417</v>
      </c>
      <c r="G115" t="s">
        <v>424</v>
      </c>
    </row>
    <row r="116" ht="13.5">
      <c r="G116" t="s">
        <v>429</v>
      </c>
    </row>
    <row r="117" spans="2:10" ht="13.5">
      <c r="B117" s="1" t="s">
        <v>77</v>
      </c>
      <c r="C117" s="1" t="s">
        <v>387</v>
      </c>
      <c r="D117" s="1" t="s">
        <v>388</v>
      </c>
      <c r="E117" s="1" t="s">
        <v>389</v>
      </c>
      <c r="G117" s="1" t="s">
        <v>77</v>
      </c>
      <c r="H117" s="1" t="s">
        <v>387</v>
      </c>
      <c r="I117" s="1" t="s">
        <v>388</v>
      </c>
      <c r="J117" s="1" t="s">
        <v>389</v>
      </c>
    </row>
    <row r="118" spans="2:10" ht="13.5">
      <c r="B118" s="1" t="s">
        <v>397</v>
      </c>
      <c r="C118" s="1">
        <v>0.25</v>
      </c>
      <c r="D118" s="1">
        <f>1000000*0.9*C118*3/12</f>
        <v>56250</v>
      </c>
      <c r="E118" s="1">
        <f>1000000-D118</f>
        <v>943750</v>
      </c>
      <c r="G118" s="1" t="s">
        <v>398</v>
      </c>
      <c r="H118" s="1">
        <v>0.125</v>
      </c>
      <c r="I118" s="1">
        <f>1000000*0.9*H118*4/12</f>
        <v>37500</v>
      </c>
      <c r="J118" s="1">
        <f>1000000-I118</f>
        <v>962500</v>
      </c>
    </row>
    <row r="119" spans="2:10" ht="13.5">
      <c r="B119" s="1" t="s">
        <v>398</v>
      </c>
      <c r="C119" s="1">
        <v>0.25</v>
      </c>
      <c r="D119" s="1">
        <f>1000000*0.9*C119</f>
        <v>225000</v>
      </c>
      <c r="E119" s="1">
        <f>E118-D119</f>
        <v>718750</v>
      </c>
      <c r="G119" s="1" t="s">
        <v>399</v>
      </c>
      <c r="H119" s="1">
        <v>0.125</v>
      </c>
      <c r="I119" s="1">
        <f aca="true" t="shared" si="6" ref="I119:I125">1000000*0.9*H119</f>
        <v>112500</v>
      </c>
      <c r="J119" s="1">
        <f>J118-I119</f>
        <v>850000</v>
      </c>
    </row>
    <row r="120" spans="2:10" ht="13.5">
      <c r="B120" s="1" t="s">
        <v>399</v>
      </c>
      <c r="C120" s="1">
        <v>0.25</v>
      </c>
      <c r="D120" s="1">
        <f>1000000*0.9*C120</f>
        <v>225000</v>
      </c>
      <c r="E120" s="1">
        <f aca="true" t="shared" si="7" ref="E120:E127">E119-D120</f>
        <v>493750</v>
      </c>
      <c r="G120" s="1" t="s">
        <v>400</v>
      </c>
      <c r="H120" s="1">
        <v>0.125</v>
      </c>
      <c r="I120" s="1">
        <f t="shared" si="6"/>
        <v>112500</v>
      </c>
      <c r="J120" s="1">
        <f aca="true" t="shared" si="8" ref="J120:J127">J119-I120</f>
        <v>737500</v>
      </c>
    </row>
    <row r="121" spans="2:10" ht="13.5">
      <c r="B121" s="1" t="s">
        <v>400</v>
      </c>
      <c r="C121" s="1">
        <v>0.25</v>
      </c>
      <c r="D121" s="1">
        <f>1000000*0.9*C121</f>
        <v>225000</v>
      </c>
      <c r="E121" s="1">
        <f t="shared" si="7"/>
        <v>268750</v>
      </c>
      <c r="G121" s="1" t="s">
        <v>401</v>
      </c>
      <c r="H121" s="1">
        <v>0.125</v>
      </c>
      <c r="I121" s="1">
        <f t="shared" si="6"/>
        <v>112500</v>
      </c>
      <c r="J121" s="1">
        <f t="shared" si="8"/>
        <v>625000</v>
      </c>
    </row>
    <row r="122" spans="2:10" ht="13.5">
      <c r="B122" s="1" t="s">
        <v>401</v>
      </c>
      <c r="C122" s="1">
        <v>0.25</v>
      </c>
      <c r="D122" s="1">
        <v>218750</v>
      </c>
      <c r="E122" s="1">
        <f t="shared" si="7"/>
        <v>50000</v>
      </c>
      <c r="G122" s="1" t="s">
        <v>418</v>
      </c>
      <c r="H122" s="1">
        <v>0.142</v>
      </c>
      <c r="I122" s="1">
        <f t="shared" si="6"/>
        <v>127799.99999999999</v>
      </c>
      <c r="J122" s="1">
        <f t="shared" si="8"/>
        <v>497200</v>
      </c>
    </row>
    <row r="123" spans="2:10" ht="13.5">
      <c r="B123" s="1" t="s">
        <v>418</v>
      </c>
      <c r="C123" s="1" t="s">
        <v>408</v>
      </c>
      <c r="D123" s="1">
        <v>10000</v>
      </c>
      <c r="E123" s="1">
        <f t="shared" si="7"/>
        <v>40000</v>
      </c>
      <c r="G123" s="1" t="s">
        <v>419</v>
      </c>
      <c r="H123" s="248">
        <v>0.142</v>
      </c>
      <c r="I123" s="1">
        <f t="shared" si="6"/>
        <v>127799.99999999999</v>
      </c>
      <c r="J123" s="1">
        <f t="shared" si="8"/>
        <v>369400</v>
      </c>
    </row>
    <row r="124" spans="2:10" ht="13.5">
      <c r="B124" s="1" t="s">
        <v>419</v>
      </c>
      <c r="C124" s="1" t="s">
        <v>408</v>
      </c>
      <c r="D124" s="1">
        <v>10000</v>
      </c>
      <c r="E124" s="1">
        <f t="shared" si="7"/>
        <v>30000</v>
      </c>
      <c r="G124" s="1" t="s">
        <v>420</v>
      </c>
      <c r="H124" s="248">
        <v>0.142</v>
      </c>
      <c r="I124" s="1">
        <f t="shared" si="6"/>
        <v>127799.99999999999</v>
      </c>
      <c r="J124" s="1">
        <f t="shared" si="8"/>
        <v>241600</v>
      </c>
    </row>
    <row r="125" spans="2:10" ht="13.5">
      <c r="B125" s="1" t="s">
        <v>420</v>
      </c>
      <c r="C125" s="1" t="s">
        <v>408</v>
      </c>
      <c r="D125" s="1">
        <v>10000</v>
      </c>
      <c r="E125" s="1">
        <f t="shared" si="7"/>
        <v>20000</v>
      </c>
      <c r="G125" s="1" t="s">
        <v>421</v>
      </c>
      <c r="H125" s="248">
        <v>0.142</v>
      </c>
      <c r="I125" s="1">
        <f t="shared" si="6"/>
        <v>127799.99999999999</v>
      </c>
      <c r="J125" s="1">
        <f t="shared" si="8"/>
        <v>113800.00000000001</v>
      </c>
    </row>
    <row r="126" spans="2:10" ht="13.5">
      <c r="B126" s="1" t="s">
        <v>421</v>
      </c>
      <c r="C126" s="1" t="s">
        <v>408</v>
      </c>
      <c r="D126" s="1">
        <v>10000</v>
      </c>
      <c r="E126" s="1">
        <f t="shared" si="7"/>
        <v>10000</v>
      </c>
      <c r="G126" s="1" t="s">
        <v>407</v>
      </c>
      <c r="H126" s="248">
        <v>0.142</v>
      </c>
      <c r="I126" s="1">
        <v>63800</v>
      </c>
      <c r="J126" s="1">
        <f t="shared" si="8"/>
        <v>50000.000000000015</v>
      </c>
    </row>
    <row r="127" spans="2:10" ht="13.5">
      <c r="B127" s="1" t="s">
        <v>407</v>
      </c>
      <c r="C127" s="1" t="s">
        <v>408</v>
      </c>
      <c r="D127" s="1">
        <v>9999</v>
      </c>
      <c r="E127" s="1">
        <f t="shared" si="7"/>
        <v>1</v>
      </c>
      <c r="G127" s="1" t="s">
        <v>409</v>
      </c>
      <c r="H127" s="1" t="s">
        <v>408</v>
      </c>
      <c r="I127" s="1">
        <v>10000</v>
      </c>
      <c r="J127" s="1">
        <f t="shared" si="8"/>
        <v>40000.000000000015</v>
      </c>
    </row>
    <row r="128" spans="2:10" ht="13.5">
      <c r="B128" s="1" t="s">
        <v>409</v>
      </c>
      <c r="C128" s="1"/>
      <c r="D128" s="1"/>
      <c r="E128" s="1"/>
      <c r="G128" s="1" t="s">
        <v>425</v>
      </c>
      <c r="H128" s="1" t="s">
        <v>408</v>
      </c>
      <c r="I128" s="1">
        <v>10000</v>
      </c>
      <c r="J128" s="1">
        <f>J127-I128</f>
        <v>30000.000000000015</v>
      </c>
    </row>
    <row r="129" spans="2:10" ht="13.5">
      <c r="B129" s="1" t="s">
        <v>422</v>
      </c>
      <c r="C129" s="1"/>
      <c r="D129" s="1"/>
      <c r="E129" s="1"/>
      <c r="G129" s="1" t="s">
        <v>426</v>
      </c>
      <c r="H129" s="1" t="s">
        <v>408</v>
      </c>
      <c r="I129" s="1">
        <v>10000</v>
      </c>
      <c r="J129" s="1">
        <f>J128-I129</f>
        <v>20000.000000000015</v>
      </c>
    </row>
    <row r="130" spans="2:10" ht="13.5">
      <c r="B130" s="1" t="s">
        <v>422</v>
      </c>
      <c r="C130" s="1"/>
      <c r="D130" s="1"/>
      <c r="E130" s="1"/>
      <c r="G130" s="1" t="s">
        <v>427</v>
      </c>
      <c r="H130" s="1" t="s">
        <v>408</v>
      </c>
      <c r="I130" s="1">
        <v>10000</v>
      </c>
      <c r="J130" s="1">
        <f>J129-I130</f>
        <v>10000.000000000015</v>
      </c>
    </row>
    <row r="131" spans="2:10" ht="13.5">
      <c r="B131" s="1" t="s">
        <v>422</v>
      </c>
      <c r="C131" s="1"/>
      <c r="D131" s="1"/>
      <c r="E131" s="1"/>
      <c r="G131" s="1" t="s">
        <v>428</v>
      </c>
      <c r="H131" s="1" t="s">
        <v>408</v>
      </c>
      <c r="I131" s="1">
        <v>9999</v>
      </c>
      <c r="J131" s="1">
        <f>J130-I131</f>
        <v>1.000000000014552</v>
      </c>
    </row>
    <row r="133" spans="2:7" ht="13.5">
      <c r="B133" t="s">
        <v>430</v>
      </c>
      <c r="G133" t="s">
        <v>430</v>
      </c>
    </row>
    <row r="134" spans="2:7" ht="13.5">
      <c r="B134" t="s">
        <v>431</v>
      </c>
      <c r="G134" t="s">
        <v>455</v>
      </c>
    </row>
    <row r="135" ht="13.5">
      <c r="B135" t="s">
        <v>432</v>
      </c>
    </row>
    <row r="136" spans="2:10" ht="13.5">
      <c r="B136" s="1" t="s">
        <v>77</v>
      </c>
      <c r="C136" s="1" t="s">
        <v>387</v>
      </c>
      <c r="D136" s="1" t="s">
        <v>388</v>
      </c>
      <c r="E136" s="1" t="s">
        <v>389</v>
      </c>
      <c r="G136" s="1" t="s">
        <v>77</v>
      </c>
      <c r="H136" s="1" t="s">
        <v>387</v>
      </c>
      <c r="I136" s="1" t="s">
        <v>388</v>
      </c>
      <c r="J136" s="1" t="s">
        <v>389</v>
      </c>
    </row>
    <row r="137" spans="2:10" ht="13.5">
      <c r="B137" s="1" t="s">
        <v>400</v>
      </c>
      <c r="C137" s="1">
        <v>0.125</v>
      </c>
      <c r="D137" s="1">
        <f>1000000*C137*6/12</f>
        <v>62500</v>
      </c>
      <c r="E137" s="1">
        <f>1000000-D137</f>
        <v>937500</v>
      </c>
      <c r="G137" s="1" t="s">
        <v>400</v>
      </c>
      <c r="H137" s="1"/>
      <c r="I137" s="1"/>
      <c r="J137" s="1"/>
    </row>
    <row r="138" spans="2:10" ht="13.5">
      <c r="B138" s="1" t="s">
        <v>401</v>
      </c>
      <c r="C138" s="1">
        <v>0.125</v>
      </c>
      <c r="D138" s="1">
        <f aca="true" t="shared" si="9" ref="D138:D143">1000000*C138</f>
        <v>125000</v>
      </c>
      <c r="E138" s="1">
        <f>E137-D138</f>
        <v>812500</v>
      </c>
      <c r="G138" s="1" t="s">
        <v>401</v>
      </c>
      <c r="H138" s="1">
        <v>0.2</v>
      </c>
      <c r="I138" s="1">
        <f>1542000*0.2*6/12</f>
        <v>154200</v>
      </c>
      <c r="J138" s="1">
        <f>1542000-I138</f>
        <v>1387800</v>
      </c>
    </row>
    <row r="139" spans="2:10" ht="13.5">
      <c r="B139" s="1" t="s">
        <v>418</v>
      </c>
      <c r="C139" s="1">
        <v>0.143</v>
      </c>
      <c r="D139" s="1">
        <f t="shared" si="9"/>
        <v>143000</v>
      </c>
      <c r="E139" s="1">
        <f aca="true" t="shared" si="10" ref="E139:E146">E138-D139</f>
        <v>669500</v>
      </c>
      <c r="G139" s="1" t="s">
        <v>418</v>
      </c>
      <c r="H139" s="1">
        <v>0.2</v>
      </c>
      <c r="I139" s="1">
        <f>1542000*H139</f>
        <v>308400</v>
      </c>
      <c r="J139" s="1">
        <f>J138-I139</f>
        <v>1079400</v>
      </c>
    </row>
    <row r="140" spans="2:10" ht="13.5">
      <c r="B140" s="1" t="s">
        <v>419</v>
      </c>
      <c r="C140" s="1">
        <v>0.143</v>
      </c>
      <c r="D140" s="1">
        <f t="shared" si="9"/>
        <v>143000</v>
      </c>
      <c r="E140" s="1">
        <f t="shared" si="10"/>
        <v>526500</v>
      </c>
      <c r="G140" s="1" t="s">
        <v>419</v>
      </c>
      <c r="H140" s="1">
        <v>0.2</v>
      </c>
      <c r="I140" s="1">
        <f>1542000*H140</f>
        <v>308400</v>
      </c>
      <c r="J140" s="1">
        <f>J139-I140</f>
        <v>771000</v>
      </c>
    </row>
    <row r="141" spans="2:10" ht="13.5">
      <c r="B141" s="1" t="s">
        <v>420</v>
      </c>
      <c r="C141" s="1">
        <v>0.143</v>
      </c>
      <c r="D141" s="1">
        <f t="shared" si="9"/>
        <v>143000</v>
      </c>
      <c r="E141" s="1">
        <f t="shared" si="10"/>
        <v>383500</v>
      </c>
      <c r="G141" s="1" t="s">
        <v>420</v>
      </c>
      <c r="H141" s="1">
        <v>0.2</v>
      </c>
      <c r="I141" s="1">
        <f>1542000*H141</f>
        <v>308400</v>
      </c>
      <c r="J141" s="1">
        <f>J140-I141</f>
        <v>462600</v>
      </c>
    </row>
    <row r="142" spans="2:10" ht="13.5">
      <c r="B142" s="1" t="s">
        <v>421</v>
      </c>
      <c r="C142" s="1">
        <v>0.143</v>
      </c>
      <c r="D142" s="1">
        <f t="shared" si="9"/>
        <v>143000</v>
      </c>
      <c r="E142" s="1">
        <f>E141-D142</f>
        <v>240500</v>
      </c>
      <c r="G142" s="1" t="s">
        <v>421</v>
      </c>
      <c r="H142" s="1">
        <v>0.2</v>
      </c>
      <c r="I142" s="1">
        <f>1542000*H142</f>
        <v>308400</v>
      </c>
      <c r="J142" s="1">
        <f>J141-I142</f>
        <v>154200</v>
      </c>
    </row>
    <row r="143" spans="2:10" ht="13.5">
      <c r="B143" s="1" t="s">
        <v>407</v>
      </c>
      <c r="C143" s="1">
        <v>0.143</v>
      </c>
      <c r="D143" s="1">
        <f t="shared" si="9"/>
        <v>143000</v>
      </c>
      <c r="E143" s="1">
        <f>E142-D143</f>
        <v>97500</v>
      </c>
      <c r="G143" s="1" t="s">
        <v>407</v>
      </c>
      <c r="H143" s="1">
        <v>0.2</v>
      </c>
      <c r="I143" s="1">
        <v>154199</v>
      </c>
      <c r="J143" s="1">
        <f>J142-I143</f>
        <v>1</v>
      </c>
    </row>
    <row r="144" spans="2:10" ht="13.5">
      <c r="B144" s="1" t="s">
        <v>409</v>
      </c>
      <c r="C144" s="1">
        <v>0.143</v>
      </c>
      <c r="D144" s="1">
        <v>97499</v>
      </c>
      <c r="E144" s="1">
        <f>E143-D144</f>
        <v>1</v>
      </c>
      <c r="G144" s="1"/>
      <c r="H144" s="1"/>
      <c r="I144" s="1"/>
      <c r="J144" s="1"/>
    </row>
    <row r="145" spans="2:10" ht="13.5">
      <c r="B145" s="1" t="s">
        <v>421</v>
      </c>
      <c r="C145" s="1"/>
      <c r="D145" s="1">
        <f>1000000*0.9*C145</f>
        <v>0</v>
      </c>
      <c r="E145" s="1"/>
      <c r="G145" s="1"/>
      <c r="H145" s="1"/>
      <c r="I145" s="1"/>
      <c r="J145" s="1"/>
    </row>
    <row r="146" spans="2:10" ht="13.5">
      <c r="B146" s="1" t="s">
        <v>407</v>
      </c>
      <c r="C146" s="1"/>
      <c r="D146" s="1">
        <f>1000000*0.9*C146</f>
        <v>0</v>
      </c>
      <c r="E146" s="1">
        <f t="shared" si="10"/>
        <v>0</v>
      </c>
      <c r="G146" s="1"/>
      <c r="H146" s="1"/>
      <c r="I146" s="1"/>
      <c r="J146" s="1"/>
    </row>
    <row r="147" spans="2:10" ht="13.5">
      <c r="B147" s="1" t="s">
        <v>409</v>
      </c>
      <c r="C147" s="1"/>
      <c r="D147" s="1"/>
      <c r="E147" s="1"/>
      <c r="G147" s="1"/>
      <c r="H147" s="1"/>
      <c r="I147" s="1"/>
      <c r="J147" s="1"/>
    </row>
    <row r="148" spans="2:10" ht="13.5">
      <c r="B148" s="1" t="s">
        <v>422</v>
      </c>
      <c r="C148" s="1"/>
      <c r="D148" s="1"/>
      <c r="E148" s="1"/>
      <c r="G148" s="1" t="s">
        <v>422</v>
      </c>
      <c r="H148" s="1"/>
      <c r="I148" s="1"/>
      <c r="J148" s="1"/>
    </row>
    <row r="149" spans="2:5" ht="13.5">
      <c r="B149" s="1" t="s">
        <v>422</v>
      </c>
      <c r="C149" s="1"/>
      <c r="D149" s="1"/>
      <c r="E149" s="1"/>
    </row>
    <row r="150" spans="2:5" ht="13.5">
      <c r="B150" s="1" t="s">
        <v>422</v>
      </c>
      <c r="C150" s="1"/>
      <c r="D150" s="1"/>
      <c r="E150" s="1"/>
    </row>
  </sheetData>
  <sheetProtection password="E947" sheet="1" objects="1" scenarios="1"/>
  <mergeCells count="13">
    <mergeCell ref="B84:M85"/>
    <mergeCell ref="B70:D70"/>
    <mergeCell ref="B14:B15"/>
    <mergeCell ref="C14:C15"/>
    <mergeCell ref="D14:D15"/>
    <mergeCell ref="E14:F15"/>
    <mergeCell ref="G14:G15"/>
    <mergeCell ref="H14:I14"/>
    <mergeCell ref="J14:J15"/>
    <mergeCell ref="K14:K15"/>
    <mergeCell ref="E70:G70"/>
    <mergeCell ref="A59:A61"/>
    <mergeCell ref="B62:B64"/>
  </mergeCells>
  <dataValidations count="9">
    <dataValidation type="textLength" allowBlank="1" showInputMessage="1" showErrorMessage="1" errorTitle="名称入力欄は１６文字まで" error="入力された文字数が１６文字を超えました。&#10;１６文字以内で再入力してください。" imeMode="on" sqref="B17:B26">
      <formula1>1</formula1>
      <formula2>16</formula2>
    </dataValidation>
    <dataValidation type="textLength" allowBlank="1" showInputMessage="1" showErrorMessage="1" errorTitle="面積数量欄入力エラー" error="文字数は６文字までです。&#10;半角で入力してください。" imeMode="off" sqref="D17:D26">
      <formula1>0</formula1>
      <formula2>6</formula2>
    </dataValidation>
    <dataValidation type="list" allowBlank="1" showDropDown="1" showInputMessage="1" showErrorMessage="1" errorTitle="取得年入力エラー" error="昭和はｓ１からｓ６３まで&#10;平成は１から９９まで&#10;それ以外は入力できません。&#10;" imeMode="disabled" sqref="E17:E26">
      <formula1>$EQ$9:$EQ$170</formula1>
    </dataValidation>
    <dataValidation type="whole" allowBlank="1" showInputMessage="1" showErrorMessage="1" errorTitle="取得価額入力エラー" error="１０万円以上、１０億円未満の&#10;金額を入力してください。" imeMode="disabled" sqref="G17:G26 H26">
      <formula1>100000</formula1>
      <formula2>999999999</formula2>
    </dataValidation>
    <dataValidation type="whole" allowBlank="1" showInputMessage="1" showErrorMessage="1" errorTitle="取得月入力エラー" error="１から１２までの数字を入力してください。" imeMode="disabled" sqref="F17:F26">
      <formula1>1</formula1>
      <formula2>12</formula2>
    </dataValidation>
    <dataValidation type="whole" allowBlank="1" showInputMessage="1" showErrorMessage="1" errorTitle="廃棄月入力エラー" error="１から１２までの数字を入力してください。" imeMode="disabled" sqref="K17:K26">
      <formula1>1</formula1>
      <formula2>12</formula2>
    </dataValidation>
    <dataValidation type="whole" allowBlank="1" showInputMessage="1" showErrorMessage="1" errorTitle="耐用年数入力エラー" error="２から９９までの数字を入力してください。" imeMode="disabled" sqref="I17:I26 H17:H25">
      <formula1>2</formula1>
      <formula2>99</formula2>
    </dataValidation>
    <dataValidation type="decimal" allowBlank="1" showInputMessage="1" showErrorMessage="1" errorTitle="事業割合入力エラー" error="１から１００までの数字を入力してください。" imeMode="disabled" sqref="J17:J26">
      <formula1>0.01</formula1>
      <formula2>1</formula2>
    </dataValidation>
    <dataValidation type="list" allowBlank="1" showInputMessage="1" showErrorMessage="1" promptTitle="建物の選択" prompt="建物の場合は&#10;◎をそれ以外&#10;は空白を選択&#10;してください。&#10;" errorTitle="建物選択エラー" error="建物の場合は右側に表示されるているリスト&#10;ボタンの▼をクリックしてリストにある◎を選択&#10;してください。&#10;それ以外の場合は空白を選択してください。" imeMode="disabled" sqref="C17:C26">
      <formula1>$C$1:$C$2</formula1>
    </dataValidation>
  </dataValidations>
  <printOptions/>
  <pageMargins left="0.26" right="0.2" top="1" bottom="1" header="0.512" footer="0.51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indexed="17"/>
  </sheetPr>
  <dimension ref="A1:DR238"/>
  <sheetViews>
    <sheetView tabSelected="1" zoomScalePageLayoutView="0" workbookViewId="0" topLeftCell="A1">
      <pane ySplit="6" topLeftCell="A7" activePane="bottomLeft" state="frozen"/>
      <selection pane="topLeft" activeCell="A1" sqref="A1"/>
      <selection pane="bottomLeft" activeCell="J5" sqref="J5:J6"/>
    </sheetView>
  </sheetViews>
  <sheetFormatPr defaultColWidth="9.00390625" defaultRowHeight="13.5"/>
  <cols>
    <col min="1" max="1" width="4.375" style="0" customWidth="1"/>
    <col min="2" max="2" width="18.875" style="0" customWidth="1"/>
    <col min="3" max="3" width="3.25390625" style="0" customWidth="1"/>
    <col min="4" max="4" width="5.625" style="0" customWidth="1"/>
    <col min="5" max="5" width="4.50390625" style="0" customWidth="1"/>
    <col min="6" max="6" width="3.875" style="0" customWidth="1"/>
    <col min="7" max="7" width="11.50390625" style="0" customWidth="1"/>
    <col min="8" max="8" width="5.375" style="0" customWidth="1"/>
    <col min="9" max="9" width="5.875" style="0" customWidth="1"/>
    <col min="10" max="10" width="5.125" style="0" customWidth="1"/>
    <col min="11" max="11" width="7.25390625" style="0" customWidth="1"/>
    <col min="12" max="12" width="10.625" style="0" hidden="1" customWidth="1"/>
    <col min="13" max="13" width="12.75390625" style="0" customWidth="1"/>
    <col min="14" max="15" width="16.75390625" style="0" customWidth="1"/>
    <col min="16" max="28" width="16.75390625" style="0" hidden="1" customWidth="1"/>
    <col min="29" max="38" width="16.75390625" style="0" customWidth="1"/>
    <col min="39" max="39" width="16.75390625" style="119" customWidth="1"/>
    <col min="40" max="81" width="16.75390625" style="0" hidden="1" customWidth="1"/>
    <col min="82" max="88" width="16.75390625" style="0" customWidth="1"/>
    <col min="89" max="91" width="14.25390625" style="0" customWidth="1"/>
    <col min="92" max="92" width="8.625" style="0" customWidth="1"/>
    <col min="93" max="93" width="3.75390625" style="0" customWidth="1"/>
    <col min="94" max="94" width="20.625" style="0" customWidth="1"/>
    <col min="95" max="95" width="4.75390625" style="0" customWidth="1"/>
    <col min="96" max="96" width="4.50390625" style="0" customWidth="1"/>
    <col min="97" max="97" width="3.625" style="0" customWidth="1"/>
    <col min="98" max="98" width="4.50390625" style="0" customWidth="1"/>
    <col min="99" max="99" width="10.25390625" style="0" customWidth="1"/>
    <col min="100" max="100" width="10.50390625" style="0" customWidth="1"/>
    <col min="101" max="101" width="6.00390625" style="0" customWidth="1"/>
    <col min="102" max="102" width="4.75390625" style="0" customWidth="1"/>
    <col min="103" max="103" width="7.375" style="0" customWidth="1"/>
    <col min="104" max="104" width="3.625" style="0" customWidth="1"/>
    <col min="105" max="105" width="4.00390625" style="0" customWidth="1"/>
    <col min="106" max="106" width="10.00390625" style="0" customWidth="1"/>
    <col min="107" max="107" width="6.00390625" style="0" customWidth="1"/>
    <col min="108" max="108" width="9.75390625" style="0" customWidth="1"/>
    <col min="109" max="109" width="10.875" style="0" customWidth="1"/>
    <col min="110" max="110" width="11.25390625" style="0" customWidth="1"/>
    <col min="111" max="118" width="6.00390625" style="120" customWidth="1"/>
    <col min="119" max="122" width="10.625" style="120" hidden="1" customWidth="1"/>
    <col min="123" max="123" width="10.625" style="120" customWidth="1"/>
    <col min="124" max="133" width="9.00390625" style="120" customWidth="1"/>
  </cols>
  <sheetData>
    <row r="1" spans="1:122" ht="21.75" customHeight="1">
      <c r="A1" s="232"/>
      <c r="B1" s="237" t="s">
        <v>595</v>
      </c>
      <c r="C1" s="232" t="s">
        <v>276</v>
      </c>
      <c r="D1" s="232"/>
      <c r="E1" s="232"/>
      <c r="F1" s="232"/>
      <c r="G1" s="299" t="s">
        <v>583</v>
      </c>
      <c r="H1" s="232"/>
      <c r="I1" s="232"/>
      <c r="J1" s="232"/>
      <c r="K1" s="232"/>
      <c r="L1" s="232"/>
      <c r="M1" s="232"/>
      <c r="N1" s="264" t="s">
        <v>667</v>
      </c>
      <c r="O1" s="232" t="s">
        <v>668</v>
      </c>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t="s">
        <v>171</v>
      </c>
      <c r="AR1" s="232"/>
      <c r="AS1" s="232"/>
      <c r="AT1" s="232"/>
      <c r="AU1" s="232"/>
      <c r="AV1" s="232"/>
      <c r="AW1" s="232"/>
      <c r="AX1" s="232"/>
      <c r="AY1" s="232"/>
      <c r="AZ1" s="232"/>
      <c r="BA1" s="232"/>
      <c r="BB1" s="232"/>
      <c r="BC1" s="232"/>
      <c r="BD1" s="232"/>
      <c r="BE1" s="232"/>
      <c r="BF1" s="232"/>
      <c r="BG1" s="232"/>
      <c r="BH1" s="232"/>
      <c r="BI1" s="232"/>
      <c r="BJ1" s="232"/>
      <c r="BK1" s="232"/>
      <c r="BL1" s="232"/>
      <c r="BM1" s="232"/>
      <c r="BN1" s="232" t="s">
        <v>174</v>
      </c>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120"/>
      <c r="CO1" s="68" t="s">
        <v>59</v>
      </c>
      <c r="CP1" s="68"/>
      <c r="CQ1" s="68"/>
      <c r="CR1" s="101" t="s">
        <v>596</v>
      </c>
      <c r="CS1" s="102">
        <f>E4</f>
        <v>1</v>
      </c>
      <c r="CT1" s="101" t="s">
        <v>34</v>
      </c>
      <c r="CU1" s="68"/>
      <c r="CV1" s="68"/>
      <c r="CW1" s="68"/>
      <c r="CX1" s="68"/>
      <c r="CY1" s="58"/>
      <c r="CZ1" s="450" t="str">
        <f>J4</f>
        <v>山田太郎</v>
      </c>
      <c r="DA1" s="450"/>
      <c r="DB1" s="450"/>
      <c r="DC1" s="103"/>
      <c r="DD1" s="103"/>
      <c r="DE1" s="103"/>
      <c r="DF1" s="103"/>
      <c r="DO1" s="120">
        <v>1</v>
      </c>
      <c r="DP1" s="120" t="s">
        <v>99</v>
      </c>
      <c r="DQ1" s="120">
        <v>1</v>
      </c>
      <c r="DR1" s="120">
        <v>1926</v>
      </c>
    </row>
    <row r="2" spans="1:122" ht="10.5" customHeight="1" thickBot="1">
      <c r="A2" s="233"/>
      <c r="B2" s="233"/>
      <c r="C2" s="233"/>
      <c r="D2" s="233"/>
      <c r="E2" s="233"/>
      <c r="F2" s="233"/>
      <c r="G2" s="391" t="s">
        <v>502</v>
      </c>
      <c r="H2" s="233"/>
      <c r="I2" s="233"/>
      <c r="J2" s="233"/>
      <c r="K2" s="233"/>
      <c r="L2" s="233"/>
      <c r="M2" s="233"/>
      <c r="N2" s="233"/>
      <c r="O2" s="381" t="s">
        <v>584</v>
      </c>
      <c r="P2" s="233"/>
      <c r="Q2" s="233"/>
      <c r="R2" s="233"/>
      <c r="S2" s="233"/>
      <c r="T2" s="233"/>
      <c r="U2" s="233"/>
      <c r="V2" s="233"/>
      <c r="W2" s="233"/>
      <c r="X2" s="453"/>
      <c r="Y2" s="454"/>
      <c r="Z2" s="454"/>
      <c r="AA2" s="454"/>
      <c r="AB2" s="454"/>
      <c r="AC2" s="232"/>
      <c r="AD2" s="232"/>
      <c r="AE2" s="232"/>
      <c r="AF2" s="232"/>
      <c r="AG2" s="232"/>
      <c r="AH2" s="232"/>
      <c r="AI2" s="233"/>
      <c r="AJ2" s="233"/>
      <c r="AK2" s="233"/>
      <c r="AL2" s="233"/>
      <c r="AM2" s="233"/>
      <c r="AN2" s="233" t="s">
        <v>162</v>
      </c>
      <c r="AO2" s="233"/>
      <c r="AP2" s="233"/>
      <c r="AQ2" s="233" t="s">
        <v>169</v>
      </c>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120"/>
      <c r="CO2" s="58"/>
      <c r="CP2" s="58"/>
      <c r="CQ2" s="58"/>
      <c r="CR2" s="104"/>
      <c r="CS2" s="182"/>
      <c r="CT2" s="104"/>
      <c r="CU2" s="58"/>
      <c r="CV2" s="58"/>
      <c r="CW2" s="58"/>
      <c r="CX2" s="58"/>
      <c r="CY2" s="58"/>
      <c r="CZ2" s="58"/>
      <c r="DA2" s="57"/>
      <c r="DB2" s="57"/>
      <c r="DC2" s="57"/>
      <c r="DD2" s="57"/>
      <c r="DE2" s="57"/>
      <c r="DF2" s="57"/>
      <c r="DO2" s="120">
        <v>2</v>
      </c>
      <c r="DP2" s="120" t="s">
        <v>100</v>
      </c>
      <c r="DQ2" s="120">
        <v>2</v>
      </c>
      <c r="DR2" s="120">
        <v>1927</v>
      </c>
    </row>
    <row r="3" spans="1:122" ht="12" customHeight="1" thickBot="1" thickTop="1">
      <c r="A3" s="233"/>
      <c r="B3" s="233" t="s">
        <v>328</v>
      </c>
      <c r="C3" s="233"/>
      <c r="D3" s="233"/>
      <c r="E3" s="233"/>
      <c r="F3" s="233"/>
      <c r="G3" s="391" t="s">
        <v>573</v>
      </c>
      <c r="H3" s="233"/>
      <c r="I3" s="233"/>
      <c r="J3" s="233"/>
      <c r="K3" s="233"/>
      <c r="L3" s="233"/>
      <c r="M3" s="233"/>
      <c r="N3" s="235" t="s">
        <v>310</v>
      </c>
      <c r="O3" s="382" t="s">
        <v>331</v>
      </c>
      <c r="P3" s="270"/>
      <c r="Q3" s="303" t="s">
        <v>461</v>
      </c>
      <c r="R3" s="270"/>
      <c r="S3" s="270"/>
      <c r="T3" s="277" t="s">
        <v>436</v>
      </c>
      <c r="U3" s="277"/>
      <c r="V3" s="277"/>
      <c r="W3" s="277"/>
      <c r="X3" s="301"/>
      <c r="Y3" s="277"/>
      <c r="Z3" s="277"/>
      <c r="AA3" s="270"/>
      <c r="AB3" s="232"/>
      <c r="AC3" s="232"/>
      <c r="AD3" s="232"/>
      <c r="AE3" s="232"/>
      <c r="AF3" s="232"/>
      <c r="AG3" s="232"/>
      <c r="AH3" s="232"/>
      <c r="AI3" s="270"/>
      <c r="AJ3" s="270"/>
      <c r="AK3" s="270"/>
      <c r="AL3" s="270"/>
      <c r="AM3" s="233"/>
      <c r="AN3" s="248"/>
      <c r="AO3" s="248"/>
      <c r="AP3" s="248"/>
      <c r="AQ3" s="268" t="s">
        <v>170</v>
      </c>
      <c r="AR3" s="268"/>
      <c r="AS3" s="268"/>
      <c r="AT3" s="268"/>
      <c r="AU3" s="268"/>
      <c r="AV3" s="248"/>
      <c r="AW3" s="248"/>
      <c r="AX3" s="248"/>
      <c r="AY3" s="248"/>
      <c r="AZ3" s="248"/>
      <c r="BA3" s="248"/>
      <c r="BB3" s="248" t="s">
        <v>172</v>
      </c>
      <c r="BC3" s="248">
        <f>IF($E$4="","",INT(VLOOKUP(E4,$DP$1:$DR$206,3,0)))</f>
        <v>2019</v>
      </c>
      <c r="BD3" s="248" t="s">
        <v>245</v>
      </c>
      <c r="BE3" s="248">
        <f>IF($E$4="","",INT(VLOOKUP(E4,$DP$1:$DR$206,3)))-2008</f>
        <v>11</v>
      </c>
      <c r="BF3" s="248"/>
      <c r="BG3" s="248"/>
      <c r="BH3" s="248"/>
      <c r="BI3" s="248"/>
      <c r="BJ3" s="248"/>
      <c r="BK3" s="248"/>
      <c r="BL3" s="248"/>
      <c r="BM3" s="248"/>
      <c r="BN3" s="248" t="s">
        <v>257</v>
      </c>
      <c r="BO3" s="248">
        <f>BU3-1988</f>
        <v>31</v>
      </c>
      <c r="BP3" s="248"/>
      <c r="BQ3" s="248"/>
      <c r="BR3" s="248" t="s">
        <v>172</v>
      </c>
      <c r="BS3" s="248"/>
      <c r="BT3" s="248"/>
      <c r="BU3" s="248">
        <f>IF($E$4="","",INT(VLOOKUP(E4,$DP$1:$DR$206,3)))</f>
        <v>2019</v>
      </c>
      <c r="BV3" s="248"/>
      <c r="BW3" s="248"/>
      <c r="BX3" s="358" t="s">
        <v>536</v>
      </c>
      <c r="BY3" s="344" t="s">
        <v>522</v>
      </c>
      <c r="BZ3" s="342"/>
      <c r="CA3" s="344" t="s">
        <v>538</v>
      </c>
      <c r="CB3" s="248"/>
      <c r="CC3" s="248"/>
      <c r="CD3" s="233"/>
      <c r="CE3" s="233"/>
      <c r="CF3" s="233"/>
      <c r="CG3" s="233"/>
      <c r="CH3" s="233"/>
      <c r="CI3" s="233"/>
      <c r="CJ3" s="233"/>
      <c r="CK3" s="233"/>
      <c r="CL3" s="233"/>
      <c r="CM3" s="233"/>
      <c r="CN3" s="120"/>
      <c r="CO3" s="69"/>
      <c r="CP3" s="165"/>
      <c r="CQ3" s="166"/>
      <c r="CR3" s="166"/>
      <c r="CS3" s="167"/>
      <c r="CT3" s="168"/>
      <c r="CU3" s="169" t="s">
        <v>60</v>
      </c>
      <c r="CV3" s="170" t="s">
        <v>61</v>
      </c>
      <c r="CW3" s="171"/>
      <c r="CX3" s="165"/>
      <c r="CY3" s="170" t="s">
        <v>62</v>
      </c>
      <c r="CZ3" s="169" t="s">
        <v>63</v>
      </c>
      <c r="DA3" s="172"/>
      <c r="DB3" s="172" t="s">
        <v>64</v>
      </c>
      <c r="DC3" s="170" t="s">
        <v>65</v>
      </c>
      <c r="DD3" s="169" t="s">
        <v>66</v>
      </c>
      <c r="DE3" s="170" t="s">
        <v>67</v>
      </c>
      <c r="DF3" s="196"/>
      <c r="DO3" s="120">
        <v>3</v>
      </c>
      <c r="DP3" s="120" t="s">
        <v>101</v>
      </c>
      <c r="DQ3" s="120">
        <v>3</v>
      </c>
      <c r="DR3" s="120">
        <v>1928</v>
      </c>
    </row>
    <row r="4" spans="1:122" ht="15.75" customHeight="1" thickBot="1" thickTop="1">
      <c r="A4" s="234"/>
      <c r="B4" s="222" t="s">
        <v>32</v>
      </c>
      <c r="C4" s="223"/>
      <c r="D4" s="224" t="s">
        <v>596</v>
      </c>
      <c r="E4" s="220">
        <v>1</v>
      </c>
      <c r="F4" s="221" t="s">
        <v>34</v>
      </c>
      <c r="G4" s="233"/>
      <c r="H4" s="233"/>
      <c r="I4" s="233" t="s">
        <v>35</v>
      </c>
      <c r="J4" s="455" t="s">
        <v>669</v>
      </c>
      <c r="K4" s="456"/>
      <c r="L4" s="456"/>
      <c r="M4" s="457"/>
      <c r="N4" s="232"/>
      <c r="O4" s="232"/>
      <c r="P4" s="232"/>
      <c r="Q4" s="232"/>
      <c r="R4" s="279">
        <v>36160</v>
      </c>
      <c r="S4" s="232"/>
      <c r="T4" s="279"/>
      <c r="U4" s="279">
        <v>39447</v>
      </c>
      <c r="V4" s="280" t="s">
        <v>447</v>
      </c>
      <c r="W4" s="280" t="s">
        <v>448</v>
      </c>
      <c r="X4" s="280"/>
      <c r="Y4" s="280"/>
      <c r="Z4" s="280"/>
      <c r="AA4" s="299" t="s">
        <v>452</v>
      </c>
      <c r="AB4" s="232"/>
      <c r="AC4" s="232"/>
      <c r="AD4" s="232"/>
      <c r="AE4" s="232"/>
      <c r="AF4" s="232"/>
      <c r="AG4" s="232"/>
      <c r="AH4" s="232"/>
      <c r="AI4" s="270"/>
      <c r="AJ4" s="270"/>
      <c r="AK4" s="270"/>
      <c r="AL4" s="270"/>
      <c r="AM4" s="233"/>
      <c r="AN4" s="248"/>
      <c r="AO4" s="249">
        <f>DATE(2007,12,1)</f>
        <v>39417</v>
      </c>
      <c r="AP4" s="248" t="s">
        <v>168</v>
      </c>
      <c r="AQ4" s="248"/>
      <c r="AR4" s="249">
        <f>DATE(1998,12,1)</f>
        <v>36130</v>
      </c>
      <c r="AS4" s="248"/>
      <c r="AT4" s="248" t="s">
        <v>237</v>
      </c>
      <c r="AU4" s="248"/>
      <c r="AV4" s="248"/>
      <c r="AW4" s="248"/>
      <c r="AX4" s="248"/>
      <c r="AY4" s="248" t="s">
        <v>244</v>
      </c>
      <c r="AZ4" s="248" t="s">
        <v>238</v>
      </c>
      <c r="BA4" s="248"/>
      <c r="BB4" s="248"/>
      <c r="BC4" s="248"/>
      <c r="BD4" s="248"/>
      <c r="BE4" s="248"/>
      <c r="BF4" s="248"/>
      <c r="BG4" s="248"/>
      <c r="BH4" s="248"/>
      <c r="BI4" s="248"/>
      <c r="BJ4" s="248"/>
      <c r="BK4" s="248"/>
      <c r="BL4" s="248"/>
      <c r="BM4" s="248"/>
      <c r="BN4" s="261" t="s">
        <v>256</v>
      </c>
      <c r="BO4" s="261"/>
      <c r="BP4" s="261"/>
      <c r="BQ4" s="261"/>
      <c r="BR4" s="261"/>
      <c r="BS4" s="261" t="s">
        <v>508</v>
      </c>
      <c r="BT4" s="261"/>
      <c r="BU4" s="248"/>
      <c r="BV4" s="248"/>
      <c r="BW4" s="248" t="s">
        <v>265</v>
      </c>
      <c r="BX4" s="248"/>
      <c r="BY4" s="248"/>
      <c r="BZ4" s="262" t="s">
        <v>524</v>
      </c>
      <c r="CA4" s="345" t="s">
        <v>539</v>
      </c>
      <c r="CB4" s="248"/>
      <c r="CC4" s="248"/>
      <c r="CD4" s="233"/>
      <c r="CE4" s="233"/>
      <c r="CF4" s="233"/>
      <c r="CG4" s="233"/>
      <c r="CH4" s="233"/>
      <c r="CI4" s="233"/>
      <c r="CJ4" s="233"/>
      <c r="CK4" s="233"/>
      <c r="CL4" s="233"/>
      <c r="CM4" s="233"/>
      <c r="CN4" s="120"/>
      <c r="CO4" s="70"/>
      <c r="CP4" s="185" t="s">
        <v>37</v>
      </c>
      <c r="CQ4" s="173" t="s">
        <v>68</v>
      </c>
      <c r="CR4" s="173" t="s">
        <v>279</v>
      </c>
      <c r="CS4" s="186" t="s">
        <v>69</v>
      </c>
      <c r="CT4" s="187" t="s">
        <v>70</v>
      </c>
      <c r="CU4" s="173" t="s">
        <v>0</v>
      </c>
      <c r="CV4" s="185" t="s">
        <v>1</v>
      </c>
      <c r="CW4" s="186" t="s">
        <v>71</v>
      </c>
      <c r="CX4" s="185" t="s">
        <v>72</v>
      </c>
      <c r="CY4" s="185" t="s">
        <v>280</v>
      </c>
      <c r="CZ4" s="451" t="s">
        <v>73</v>
      </c>
      <c r="DA4" s="452"/>
      <c r="DB4" s="186" t="s">
        <v>74</v>
      </c>
      <c r="DC4" s="185" t="s">
        <v>75</v>
      </c>
      <c r="DD4" s="173" t="s">
        <v>76</v>
      </c>
      <c r="DE4" s="185" t="s">
        <v>278</v>
      </c>
      <c r="DF4" s="197" t="s">
        <v>275</v>
      </c>
      <c r="DO4" s="120">
        <v>4</v>
      </c>
      <c r="DP4" s="120" t="s">
        <v>102</v>
      </c>
      <c r="DQ4" s="120">
        <v>4</v>
      </c>
      <c r="DR4" s="120">
        <v>1929</v>
      </c>
    </row>
    <row r="5" spans="1:122" ht="12" customHeight="1">
      <c r="A5" s="464" t="s">
        <v>36</v>
      </c>
      <c r="B5" s="466" t="s">
        <v>37</v>
      </c>
      <c r="C5" s="468" t="s">
        <v>38</v>
      </c>
      <c r="D5" s="470" t="s">
        <v>277</v>
      </c>
      <c r="E5" s="440" t="s">
        <v>40</v>
      </c>
      <c r="F5" s="441"/>
      <c r="G5" s="444" t="s">
        <v>41</v>
      </c>
      <c r="H5" s="446" t="s">
        <v>45</v>
      </c>
      <c r="I5" s="447"/>
      <c r="J5" s="458" t="s">
        <v>311</v>
      </c>
      <c r="K5" s="459" t="s">
        <v>43</v>
      </c>
      <c r="L5" s="288" t="s">
        <v>312</v>
      </c>
      <c r="M5" s="459" t="s">
        <v>287</v>
      </c>
      <c r="N5" s="432" t="s">
        <v>284</v>
      </c>
      <c r="O5" s="433"/>
      <c r="P5" s="285" t="s">
        <v>438</v>
      </c>
      <c r="Q5" s="282" t="s">
        <v>438</v>
      </c>
      <c r="R5" s="282" t="s">
        <v>441</v>
      </c>
      <c r="S5" s="282" t="s">
        <v>439</v>
      </c>
      <c r="T5" s="281" t="s">
        <v>437</v>
      </c>
      <c r="U5" s="281" t="s">
        <v>446</v>
      </c>
      <c r="V5" s="281" t="s">
        <v>444</v>
      </c>
      <c r="W5" s="281" t="s">
        <v>444</v>
      </c>
      <c r="X5" s="300" t="s">
        <v>456</v>
      </c>
      <c r="Y5" s="300" t="s">
        <v>457</v>
      </c>
      <c r="Z5" s="300" t="s">
        <v>459</v>
      </c>
      <c r="AA5" s="283" t="s">
        <v>453</v>
      </c>
      <c r="AB5" s="232"/>
      <c r="AC5" s="232"/>
      <c r="AD5" s="232"/>
      <c r="AE5" s="232"/>
      <c r="AF5" s="232"/>
      <c r="AG5" s="232"/>
      <c r="AH5" s="232"/>
      <c r="AI5" s="270"/>
      <c r="AJ5" s="270"/>
      <c r="AK5" s="270"/>
      <c r="AL5" s="270"/>
      <c r="AM5" s="233"/>
      <c r="AN5" s="248" t="s">
        <v>230</v>
      </c>
      <c r="AO5" s="248" t="s">
        <v>231</v>
      </c>
      <c r="AP5" s="248" t="s">
        <v>232</v>
      </c>
      <c r="AQ5" s="248" t="s">
        <v>233</v>
      </c>
      <c r="AR5" s="248" t="s">
        <v>373</v>
      </c>
      <c r="AS5" s="248" t="s">
        <v>235</v>
      </c>
      <c r="AT5" s="248" t="s">
        <v>374</v>
      </c>
      <c r="AU5" s="248" t="s">
        <v>236</v>
      </c>
      <c r="AV5" s="248" t="s">
        <v>239</v>
      </c>
      <c r="AW5" s="248" t="s">
        <v>161</v>
      </c>
      <c r="AX5" s="248" t="s">
        <v>243</v>
      </c>
      <c r="AY5" s="248" t="s">
        <v>241</v>
      </c>
      <c r="AZ5" s="248" t="s">
        <v>242</v>
      </c>
      <c r="BA5" s="248" t="s">
        <v>240</v>
      </c>
      <c r="BB5" s="248" t="s">
        <v>247</v>
      </c>
      <c r="BC5" s="248" t="s">
        <v>248</v>
      </c>
      <c r="BD5" s="248" t="s">
        <v>249</v>
      </c>
      <c r="BE5" s="248" t="s">
        <v>288</v>
      </c>
      <c r="BF5" s="248" t="s">
        <v>250</v>
      </c>
      <c r="BG5" s="248" t="s">
        <v>251</v>
      </c>
      <c r="BH5" s="248" t="s">
        <v>252</v>
      </c>
      <c r="BI5" s="248" t="s">
        <v>253</v>
      </c>
      <c r="BJ5" s="248" t="s">
        <v>246</v>
      </c>
      <c r="BK5" s="262" t="s">
        <v>254</v>
      </c>
      <c r="BL5" s="248" t="s">
        <v>255</v>
      </c>
      <c r="BM5" s="248" t="s">
        <v>31</v>
      </c>
      <c r="BN5" s="248" t="s">
        <v>258</v>
      </c>
      <c r="BO5" s="248" t="s">
        <v>509</v>
      </c>
      <c r="BP5" s="248" t="s">
        <v>289</v>
      </c>
      <c r="BQ5" s="248" t="s">
        <v>261</v>
      </c>
      <c r="BR5" s="248" t="s">
        <v>260</v>
      </c>
      <c r="BS5" s="248" t="s">
        <v>262</v>
      </c>
      <c r="BT5" s="248" t="s">
        <v>263</v>
      </c>
      <c r="BU5" s="248" t="s">
        <v>259</v>
      </c>
      <c r="BV5" s="248" t="s">
        <v>255</v>
      </c>
      <c r="BW5" s="357" t="s">
        <v>264</v>
      </c>
      <c r="BX5" s="248" t="s">
        <v>255</v>
      </c>
      <c r="BY5" s="248" t="s">
        <v>523</v>
      </c>
      <c r="BZ5" s="342" t="s">
        <v>266</v>
      </c>
      <c r="CA5" s="345" t="s">
        <v>540</v>
      </c>
      <c r="CB5" s="248" t="s">
        <v>267</v>
      </c>
      <c r="CC5" s="248"/>
      <c r="CD5" s="233"/>
      <c r="CE5" s="233"/>
      <c r="CF5" s="233"/>
      <c r="CG5" s="233"/>
      <c r="CH5" s="233"/>
      <c r="CI5" s="233"/>
      <c r="CJ5" s="233"/>
      <c r="CK5" s="233"/>
      <c r="CL5" s="233"/>
      <c r="CM5" s="233"/>
      <c r="CN5" s="120"/>
      <c r="CO5" s="70"/>
      <c r="CP5" s="185"/>
      <c r="CQ5" s="173"/>
      <c r="CR5" s="173" t="s">
        <v>77</v>
      </c>
      <c r="CS5" s="186" t="s">
        <v>78</v>
      </c>
      <c r="CT5" s="187" t="s">
        <v>78</v>
      </c>
      <c r="CU5" s="173"/>
      <c r="CV5" s="185" t="s">
        <v>44</v>
      </c>
      <c r="CW5" s="186" t="s">
        <v>79</v>
      </c>
      <c r="CX5" s="185" t="s">
        <v>46</v>
      </c>
      <c r="CY5" s="185"/>
      <c r="CZ5" s="451" t="s">
        <v>80</v>
      </c>
      <c r="DA5" s="452"/>
      <c r="DB5" s="186" t="s">
        <v>81</v>
      </c>
      <c r="DC5" s="185" t="s">
        <v>82</v>
      </c>
      <c r="DD5" s="173" t="s">
        <v>83</v>
      </c>
      <c r="DE5" s="185" t="s">
        <v>84</v>
      </c>
      <c r="DF5" s="304" t="s">
        <v>462</v>
      </c>
      <c r="DO5" s="120">
        <v>5</v>
      </c>
      <c r="DP5" s="120" t="s">
        <v>103</v>
      </c>
      <c r="DQ5" s="120">
        <v>5</v>
      </c>
      <c r="DR5" s="120">
        <v>1930</v>
      </c>
    </row>
    <row r="6" spans="1:122" ht="15" customHeight="1" thickBot="1">
      <c r="A6" s="465"/>
      <c r="B6" s="467"/>
      <c r="C6" s="469"/>
      <c r="D6" s="445"/>
      <c r="E6" s="442"/>
      <c r="F6" s="443"/>
      <c r="G6" s="445"/>
      <c r="H6" s="184" t="s">
        <v>91</v>
      </c>
      <c r="I6" s="183" t="s">
        <v>90</v>
      </c>
      <c r="J6" s="435"/>
      <c r="K6" s="437"/>
      <c r="L6" s="225" t="s">
        <v>313</v>
      </c>
      <c r="M6" s="437"/>
      <c r="N6" s="200" t="s">
        <v>541</v>
      </c>
      <c r="O6" s="289" t="s">
        <v>286</v>
      </c>
      <c r="P6" s="285" t="s">
        <v>434</v>
      </c>
      <c r="Q6" s="298" t="s">
        <v>443</v>
      </c>
      <c r="R6" s="298" t="s">
        <v>442</v>
      </c>
      <c r="S6" s="298" t="s">
        <v>440</v>
      </c>
      <c r="T6" s="281" t="s">
        <v>435</v>
      </c>
      <c r="U6" s="298" t="s">
        <v>442</v>
      </c>
      <c r="V6" s="298" t="s">
        <v>445</v>
      </c>
      <c r="W6" s="298" t="s">
        <v>460</v>
      </c>
      <c r="X6" s="300" t="s">
        <v>435</v>
      </c>
      <c r="Y6" s="298" t="s">
        <v>458</v>
      </c>
      <c r="Z6" s="298" t="s">
        <v>460</v>
      </c>
      <c r="AA6" s="283" t="s">
        <v>435</v>
      </c>
      <c r="AB6" s="232"/>
      <c r="AC6" s="232"/>
      <c r="AD6" s="232"/>
      <c r="AE6" s="232"/>
      <c r="AF6" s="232"/>
      <c r="AG6" s="232"/>
      <c r="AH6" s="232"/>
      <c r="AI6" s="270"/>
      <c r="AJ6" s="270"/>
      <c r="AK6" s="270"/>
      <c r="AL6" s="270"/>
      <c r="AM6" s="233"/>
      <c r="AN6" s="248"/>
      <c r="AO6" s="248"/>
      <c r="AP6" s="248"/>
      <c r="AQ6" s="248"/>
      <c r="AR6" s="248"/>
      <c r="AS6" s="248"/>
      <c r="AT6" s="248"/>
      <c r="AU6" s="248"/>
      <c r="AV6" s="248"/>
      <c r="AW6" s="248"/>
      <c r="AX6" s="248">
        <f>IF(AV6&lt;&gt;0,IF(AV6=(G6*0.05),"均等償却",IF((AV6-AY6)&lt;INT(G6*0.05),"通常最終","通常償却")),"")</f>
      </c>
      <c r="AY6" s="248"/>
      <c r="AZ6" s="248"/>
      <c r="BA6" s="248"/>
      <c r="BB6" s="248"/>
      <c r="BC6" s="248"/>
      <c r="BD6" s="261">
        <f aca="true" t="shared" si="0" ref="BD6:BD37">IF(BB6&lt;&gt;"",INT(VLOOKUP(I6,旧償却率,2,0)*INT(G6*0.9)),"")</f>
      </c>
      <c r="BE6" s="248"/>
      <c r="BF6" s="248"/>
      <c r="BG6" s="248"/>
      <c r="BH6" s="248"/>
      <c r="BI6" s="248"/>
      <c r="BJ6" s="248"/>
      <c r="BK6" s="263">
        <f aca="true" t="shared" si="1" ref="BK6:BK16">(IF(BE6&lt;&gt;"",IF($BC$3&lt;BE6,BD6,IF($BC$3=BE6,BG6,IF($BC$3&lt;BI6,((G6*0.05-1)/5),IF($BC$3=BI6,(G6*0.05-1)-4*((G6*0.05)/5),0)))),""))</f>
      </c>
      <c r="BL6" s="248"/>
      <c r="BM6" s="248"/>
      <c r="BN6" s="248"/>
      <c r="BO6" s="248"/>
      <c r="BP6" s="248"/>
      <c r="BQ6" s="248"/>
      <c r="BR6" s="248"/>
      <c r="BS6" s="248"/>
      <c r="BT6" s="248"/>
      <c r="BU6" s="248"/>
      <c r="BV6" s="248"/>
      <c r="BW6" s="248"/>
      <c r="BX6" s="248"/>
      <c r="BY6" s="359" t="s">
        <v>537</v>
      </c>
      <c r="BZ6" s="262"/>
      <c r="CA6" s="345"/>
      <c r="CB6" s="248"/>
      <c r="CC6" s="248"/>
      <c r="CD6" s="233"/>
      <c r="CE6" s="233"/>
      <c r="CF6" s="233"/>
      <c r="CG6" s="233"/>
      <c r="CH6" s="233"/>
      <c r="CI6" s="233"/>
      <c r="CJ6" s="233"/>
      <c r="CK6" s="233"/>
      <c r="CL6" s="233"/>
      <c r="CM6" s="233"/>
      <c r="CN6" s="120"/>
      <c r="CO6" s="72"/>
      <c r="CP6" s="188"/>
      <c r="CQ6" s="189"/>
      <c r="CR6" s="189"/>
      <c r="CS6" s="174"/>
      <c r="CT6" s="190"/>
      <c r="CU6" s="189"/>
      <c r="CV6" s="188"/>
      <c r="CW6" s="174"/>
      <c r="CX6" s="188"/>
      <c r="CY6" s="188"/>
      <c r="CZ6" s="189"/>
      <c r="DA6" s="174"/>
      <c r="DB6" s="174" t="s">
        <v>281</v>
      </c>
      <c r="DC6" s="188" t="s">
        <v>282</v>
      </c>
      <c r="DD6" s="189" t="s">
        <v>283</v>
      </c>
      <c r="DE6" s="198"/>
      <c r="DF6" s="305" t="s">
        <v>463</v>
      </c>
      <c r="DO6" s="120">
        <v>6</v>
      </c>
      <c r="DP6" s="120" t="s">
        <v>104</v>
      </c>
      <c r="DQ6" s="120">
        <v>6</v>
      </c>
      <c r="DR6" s="120">
        <v>1931</v>
      </c>
    </row>
    <row r="7" spans="1:122" ht="15" customHeight="1" thickTop="1">
      <c r="A7" s="290">
        <v>1</v>
      </c>
      <c r="B7" s="211" t="s">
        <v>615</v>
      </c>
      <c r="C7" s="212"/>
      <c r="D7" s="213"/>
      <c r="E7" s="404" t="s">
        <v>30</v>
      </c>
      <c r="F7" s="214">
        <v>8</v>
      </c>
      <c r="G7" s="215">
        <v>1717852</v>
      </c>
      <c r="H7" s="216">
        <v>8</v>
      </c>
      <c r="I7" s="216">
        <v>7</v>
      </c>
      <c r="J7" s="209"/>
      <c r="K7" s="210"/>
      <c r="L7" s="218">
        <f>IF(B7&lt;&gt;"",IF(E7&gt;20,IF(OR(E7="",F7="",G7="",I7=""),"未入力項目あり",""),IF(OR(E7="",F7="",G7="",H7="",I7=""),"未入力項目あり","")),IF(AND(J7="",K7=""),"","不要項目入力あり"))</f>
      </c>
      <c r="M7" s="191">
        <f aca="true" t="shared" si="2" ref="M7:M37">IF(B7="",IF(OR(E7&lt;&gt;"",F7&lt;&gt;"",G7&lt;&gt;"",H7&lt;&gt;"",I7&lt;&gt;"",),"入力不備あり",""),"")&amp;L7</f>
      </c>
      <c r="N7" s="194">
        <f>IF(ISERROR(BZ7),"",BZ7)</f>
        <v>245652.83599999995</v>
      </c>
      <c r="O7" s="291">
        <f>IF(ISERROR(CA7),"",CB7)</f>
        <v>1124190.9796666668</v>
      </c>
      <c r="P7" s="286">
        <f>IF(ISERROR(IF(AND(C7="◎",YEAR(AW7)&lt;1999),VLOOKUP(AS7,テーブル!$S$8:$W$106,2,0),"")),"",IF(AND(C7="◎",YEAR(AW7)&lt;1999),VLOOKUP(AS7,テーブル!$S$8:$W$106,2,0),""))</f>
      </c>
      <c r="Q7" s="276">
        <f>IF(P7&lt;&gt;"",P7,T7)</f>
      </c>
      <c r="R7" s="278">
        <f>IF((YEAR($R$4)-YEAR(AW7))*12+MONTH($R$4)-MONTH(AW7)&lt;0,0,(YEAR($R$4)-YEAR(AW7))*12+MONTH($R$4)-MONTH(AW7)+1)</f>
        <v>0</v>
      </c>
      <c r="S7" s="274" t="e">
        <f aca="true" t="shared" si="3" ref="S7:S37">IF(ISERROR(R7),0,G7*0.9*Q7*R7/12)</f>
        <v>#VALUE!</v>
      </c>
      <c r="T7" s="276">
        <f>IF(AN7="旧定額",VLOOKUP(H7,[0]!旧償却率,2,0),IF(ISERROR(VLOOKUP(H7,[0]!新償却率,2,0)),"",IF(U7=0,"",VLOOKUP(H7,[0]!新償却率,2,0))))</f>
      </c>
      <c r="U7" s="274">
        <f>IF((YEAR($U$4)-YEAR(AW7))*12+MONTH($U$4)-MONTH(AW7)&lt;0,0,((YEAR($U$4)-YEAR(AW7))*12+MONTH($U$4)-MONTH(AW7))-R7+1)</f>
        <v>0</v>
      </c>
      <c r="V7" s="274">
        <f aca="true" t="shared" si="4" ref="V7:V18">IF(OR(U7&lt;9,ISERROR(U7)),"",IF(AN7="旧定額",G7*0.9*T7*U7/12,G7*T7*U7/12))</f>
      </c>
      <c r="W7" s="274">
        <f aca="true" t="shared" si="5" ref="W7:W37">IF(ISERROR(IF((G7*0.05)&gt;(G7-S7-V7),G7*0.05,S7+V7)),0,IF((G7*0.05)&gt;(G7-S7-V7),G7*0.95,S7+V7))</f>
        <v>0</v>
      </c>
      <c r="X7" s="378">
        <f>IF(AN7="旧定額",T7,VLOOKUP(H7,テーブル!$C$8:$D$106,2,0))</f>
        <v>0.125</v>
      </c>
      <c r="Y7" s="274">
        <f aca="true" t="shared" si="6" ref="Y7:Y37">IF(X7="","",IF(AN7="旧定額",G7*0.9*X7,G7*X7))</f>
        <v>214731.5</v>
      </c>
      <c r="Z7" s="274"/>
      <c r="AA7" s="276">
        <f>IF(ISERROR(VLOOKUP(I7,テーブル!$S$8:$W$106,2,0)),"",IF(AN7="旧定額",VLOOKUP(I7,テーブル!$S$8:$W$106,2,0),VLOOKUP(I7,テーブル!$C$8:$D$106,2,0)))</f>
        <v>0.143</v>
      </c>
      <c r="AB7" s="236" t="str">
        <f>DF7</f>
        <v>　8年</v>
      </c>
      <c r="AC7" s="232"/>
      <c r="AD7" s="232"/>
      <c r="AE7" s="232"/>
      <c r="AF7" s="232"/>
      <c r="AG7" s="232"/>
      <c r="AH7" s="232"/>
      <c r="AI7" s="270"/>
      <c r="AJ7" s="270"/>
      <c r="AK7" s="270"/>
      <c r="AL7" s="270"/>
      <c r="AM7" s="233"/>
      <c r="AN7" s="248" t="str">
        <f aca="true" t="shared" si="7" ref="AN7:AN37">IF(B7&lt;&gt;"",IF(AW7&lt;39173,"旧定額","新定額"),"")</f>
        <v>新定額</v>
      </c>
      <c r="AO7" s="248">
        <f aca="true" t="shared" si="8" ref="AO7:AO37">IF(AN7="旧定額",(YEAR($AO$4)-YEAR(AW7))*12+MONTH($AO$4)-F7+1,"")</f>
      </c>
      <c r="AP7" s="248">
        <f>IF(AO7&lt;&gt;"",INT(G7-VLOOKUP(H7,テーブル!$S$8:$W$106,4,0)*AO7*G7/1000000),"")</f>
      </c>
      <c r="AQ7" s="248">
        <f aca="true" t="shared" si="9" ref="AQ7:AQ37">IF(AP7&lt;=INT(G7*0.05),INT(G7*0.05),AP7)</f>
      </c>
      <c r="AR7" s="248">
        <f aca="true" t="shared" si="10" ref="AR7:AR37">IF(AND(AN7="旧定額",C7="◎"),(YEAR($AR$4)-YEAR(AW7))*12+MONTH($AR$4)-F7+1,"")</f>
      </c>
      <c r="AS7" s="248">
        <f>IF(AR7&lt;0,"",IF(AR7&lt;&gt;"",VLOOKUP(H7,テーブル!$Q$8:$W$106,2,0),""))</f>
      </c>
      <c r="AT7" s="248">
        <f>IF(AS7&lt;&gt;"",G7-VLOOKUP(AS7,テーブル!$S$8:$W$106,4,0)*AR7*G7/1000000,G7)</f>
        <v>1717852</v>
      </c>
      <c r="AU7" s="268" t="e">
        <f>IF(AS7&lt;&gt;"",AT7-VLOOKUP(H7,テーブル!$S$8:$W$106,4,0)*(AO7-AR7)*G7/1000000,AT7-VLOOKUP(H7,テーブル!$S$8:$W$106,4,0)*(AO7)*G7/1000000)</f>
        <v>#VALUE!</v>
      </c>
      <c r="AV7" s="284">
        <f>IF(OR(U7&lt;9,ISERROR(U7)),0,INT(G7-W7))</f>
        <v>0</v>
      </c>
      <c r="AW7" s="249">
        <f aca="true" t="shared" si="11" ref="AW7:AW37">IF(ISERROR(DATEVALUE((VLOOKUP(E7,$DP$1:$DR$206,3,0)&amp;"/"&amp;F7&amp;"/1"))),"",DATEVALUE((VLOOKUP(E7,$DP$1:$DR$206,3,0)&amp;"/"&amp;F7&amp;"/1")))</f>
        <v>42948</v>
      </c>
      <c r="AX7" s="248">
        <f>IF(AV7&lt;&gt;0,IF(AV7=INT(G7*0.05),"均等償却",IF((AV7-AY7)&lt;INT(G7*0.05),"通常最終","通常償却")),"")</f>
      </c>
      <c r="AY7" s="248">
        <f>IF(AV7&lt;&gt;0,IF(AV7&gt;INT(G7*0.05),(VLOOKUP(H7,テーブル!$S$2:T100,2,0)*G7*0.9),IF(AV7=INT(G7*0.05),INT((AV7-1)/5),0)),"")</f>
      </c>
      <c r="AZ7" s="248">
        <f aca="true" t="shared" si="12" ref="AZ7:AZ37">IF(AX7="通常最終",AV7-INT(G7*0.05),AY7)</f>
      </c>
      <c r="BA7" s="248">
        <f aca="true" t="shared" si="13" ref="BA7:BA13">IF(AZ7&lt;&gt;"",AV7-AZ7,"")</f>
      </c>
      <c r="BB7" s="248">
        <f aca="true" t="shared" si="14" ref="BB7:BB13">IF(BA7&lt;&gt;"",IF(K7&lt;&gt;"",K7+($BE$3-1)*12,$BE$3*12),"")</f>
      </c>
      <c r="BC7" s="248">
        <f aca="true" t="shared" si="15" ref="BC7:BC37">IF(BB7&lt;&gt;"",((BA7-INT(G7*0.05))/INT(VLOOKUP(I7,新償却率,8,0)*G7/1000000)),"")</f>
      </c>
      <c r="BD7" s="261">
        <f t="shared" si="0"/>
      </c>
      <c r="BE7" s="248">
        <f aca="true" t="shared" si="16" ref="BE7:BE13">IF(BC7&lt;&gt;"",IF(BC7&gt;0,2008+ROUNDUP(BC7/12,0),IF(AX7="均等償却",2008-1,IF(AX7="通常最終",2008))),"")</f>
      </c>
      <c r="BF7" s="248">
        <f aca="true" t="shared" si="17" ref="BF7:BF13">IF(BE7&lt;&gt;"",BA7-BD7*(BE7-2009),"")</f>
      </c>
      <c r="BG7" s="248">
        <f aca="true" t="shared" si="18" ref="BG7:BG37">IF(BF7&lt;&gt;"",BF7-INT(G7*0.05),"")</f>
      </c>
      <c r="BH7" s="248">
        <f aca="true" t="shared" si="19" ref="BH7:BH13">IF(AX7&lt;&gt;"",BE7+1,"")</f>
      </c>
      <c r="BI7" s="248">
        <f>IF(BH7&lt;&gt;"",BH7+4,"")</f>
      </c>
      <c r="BJ7" s="248">
        <f aca="true" t="shared" si="20" ref="BJ7:BJ13">IF(BE7&lt;&gt;"",IF($BC$3&lt;BE7,"通常償却",IF($BC$3=BE7,"通常最終",IF($BC$3&lt;BI7,"均等償却",IF($BC$3=BI7,"均等最終","終了")))),"")</f>
      </c>
      <c r="BK7" s="263">
        <f t="shared" si="1"/>
      </c>
      <c r="BL7" s="251">
        <f>IF(BE7&lt;&gt;"",IF(BJ7="通常償却",BA7-ROUNDUP(BB7/12,0)*BD7,IF(BJ7="通常最終",INT(G7*0.05),IF(BJ7="均等償却",INT(G7*0.05)-((G7*0.05-0.6)/5)*($BC$3+1-BH7),IF(BJ7="均等最終",1,1)))),"")</f>
      </c>
      <c r="BM7" s="248">
        <f aca="true" t="shared" si="21" ref="BM7:BM39">IF(E7="",0,INT(VLOOKUP(E7,$DP$1:$DR$206,3,0)&amp;IF(LEN(F7=1),"0"&amp;F7,F7)))</f>
        <v>201708</v>
      </c>
      <c r="BN7" s="379">
        <f aca="true" t="shared" si="22" ref="BN7:BN21">IF(AN7="新定額",12*(2008-LEFT(BM7,4))+(13-RIGHT(BM7,2)),0)</f>
        <v>-103</v>
      </c>
      <c r="BO7" s="380">
        <f aca="true" t="shared" si="23" ref="BO7:BO30">IF(BN7&lt;0,0,BN7*X7*G7/12)</f>
        <v>0</v>
      </c>
      <c r="BP7" s="248">
        <f>IF(BN7&lt;&gt;"",IF(BN7&gt;0,G7-BO7,IF(BO7=0,G7,G7)),"")</f>
        <v>1717852</v>
      </c>
      <c r="BQ7" s="248">
        <f aca="true" t="shared" si="24" ref="BQ7:BQ37">IF(BN7&lt;&gt;"",(VLOOKUP(I7,新償却率,4,0)*G7/1000000),"")</f>
        <v>20471.069666666663</v>
      </c>
      <c r="BR7" s="248">
        <f>IF(BN7&lt;&gt;"",IF(BN7&gt;0,12*(LEFT($BU$3,4)-2008),IF(BN7&lt;=0,12*(LEFT($BU$3,4)-LEFT(BM7,4))+(13-RIGHT(BM7,2)),"")),"")</f>
        <v>29</v>
      </c>
      <c r="BS7" s="392">
        <f>IF(BR7&lt;&gt;"",IF((BP7-BQ7*(BR7-IF(BR7&lt;12,BR7,12)))=0,1,BP7-BQ7*(BR7-IF(BR7&lt;12,BR7,12))),0)</f>
        <v>1369843.8156666667</v>
      </c>
      <c r="BT7" s="392" t="str">
        <f>IF(BS7=0,"-",IF(BS7&lt;=1,"終了",IF(BS7-BQ7*12&lt;=2,"最終回",IF(BR7&lt;12,"初回","通常回"))))</f>
        <v>通常回</v>
      </c>
      <c r="BU7" s="338">
        <f aca="true" t="shared" si="25" ref="BU7:BU13">IF(BT7="終了",0,IF(BT7="通常回",BQ7*12,IF(BT7="最終回",BS7-1,IF(BT7="初回",BR7*BQ7,""))))</f>
        <v>245652.83599999995</v>
      </c>
      <c r="BV7" s="251">
        <f aca="true" t="shared" si="26" ref="BV7:BV13">IF(BU7&lt;&gt;"",IF(BU7=0,1,BS7-BU7),"")</f>
        <v>1124190.9796666668</v>
      </c>
      <c r="BW7" s="339">
        <f aca="true" t="shared" si="27" ref="BW7:BW13">IF(AN7&lt;&gt;"新定額",BK7,BU7)</f>
        <v>245652.83599999995</v>
      </c>
      <c r="BX7" s="338">
        <f aca="true" t="shared" si="28" ref="BX7:BX13">IF(AN7&lt;&gt;"新定額",BL7,BV7)</f>
        <v>1124190.9796666668</v>
      </c>
      <c r="BY7" s="338">
        <f>IF(BJ7="均等最終",(IF(K7&lt;&gt;"",(BW7*K7/12),BW7)),IF(K7&lt;&gt;"",(BW7*K7/12),BW7))</f>
        <v>245652.83599999995</v>
      </c>
      <c r="BZ7" s="341">
        <f>IF(OR(J7&lt;&gt;"",J7=100%),(BY7*J7),BY7)</f>
        <v>245652.83599999995</v>
      </c>
      <c r="CA7" s="346">
        <f>IF(K7&lt;&gt;"",BX7+BW7-BY7,BX7)</f>
        <v>1124190.9796666668</v>
      </c>
      <c r="CB7" s="251">
        <f>IF(ISERROR(BX7)=TRUE,"",IF(BX7&lt;&gt;CA7,CA7,BX7))</f>
        <v>1124190.9796666668</v>
      </c>
      <c r="CC7" s="248"/>
      <c r="CD7" s="233"/>
      <c r="CE7" s="233"/>
      <c r="CF7" s="233"/>
      <c r="CG7" s="233"/>
      <c r="CH7" s="233"/>
      <c r="CI7" s="233"/>
      <c r="CJ7" s="233"/>
      <c r="CK7" s="233"/>
      <c r="CL7" s="233"/>
      <c r="CM7" s="233"/>
      <c r="CN7" s="120"/>
      <c r="CO7" s="70">
        <v>1</v>
      </c>
      <c r="CP7" s="226" t="str">
        <f>IF(B7&lt;&gt;"",B7,"")</f>
        <v>乾燥機</v>
      </c>
      <c r="CQ7" s="71">
        <f>IF(D7&lt;&gt;"",D7,"")</f>
      </c>
      <c r="CR7" s="175" t="str">
        <f>IF(E7&lt;&gt;"",E7,"")</f>
        <v>H29</v>
      </c>
      <c r="CS7" s="175">
        <f>IF(F7&lt;&gt;"",F7,"")</f>
        <v>8</v>
      </c>
      <c r="CT7" s="71">
        <f>IF(K7&lt;&gt;"",K7,"")</f>
      </c>
      <c r="CU7" s="176">
        <f>IF(G7&lt;&gt;"",G7,"")</f>
        <v>1717852</v>
      </c>
      <c r="CV7" s="176">
        <f aca="true" t="shared" si="29" ref="CV7:CV37">IF(AN7="旧定額",INT(CU7*0.9),IF(AN7="新定額",CU7,""))</f>
        <v>1717852</v>
      </c>
      <c r="CW7" s="227" t="str">
        <f>AN7</f>
        <v>新定額</v>
      </c>
      <c r="CX7" s="302">
        <f>IF(AN7&lt;&gt;"",I7,"")</f>
        <v>7</v>
      </c>
      <c r="CY7" s="177">
        <f aca="true" t="shared" si="30" ref="CY7:CY37">IF(CX7&lt;&gt;"",IF(AN7="新定額",VLOOKUP(CX7,新償却率,2,0),VLOOKUP(CX7,旧償却率,2)),"")</f>
        <v>0.143</v>
      </c>
      <c r="CZ7" s="179">
        <f>IF(CR7&lt;&gt;"",IF(CR7=$CS$1,13-CS7,IF(CT7&lt;&gt;"",CT7,12)),"")</f>
        <v>12</v>
      </c>
      <c r="DA7" s="178" t="str">
        <f>IF(CZ7&lt;&gt;"","/12","")</f>
        <v>/12</v>
      </c>
      <c r="DB7" s="176">
        <f>IF(ISERROR(BW7),"",IF(BY7&lt;&gt;"",ROUND(BY7,0),""))</f>
        <v>245653</v>
      </c>
      <c r="DC7" s="180" t="str">
        <f aca="true" t="shared" si="31" ref="DC7:DC40">IF(CP7&lt;&gt;"",IF(J7&lt;&gt;"",J7,"100%"),"")</f>
        <v>100%</v>
      </c>
      <c r="DD7" s="85">
        <f>IF(ISERROR(BZ7),"",IF(BZ7&lt;&gt;"",ROUND(BZ7,0),""))</f>
        <v>245653</v>
      </c>
      <c r="DE7" s="176">
        <f>IF(ISERROR(BX7),"",IF(BX7&lt;&gt;"",ROUND(CB7,0),""))</f>
        <v>1124191</v>
      </c>
      <c r="DF7" s="306" t="str">
        <f aca="true" t="shared" si="32" ref="DF7:DF37">IF(B7&lt;&gt;"",IF(H7="",BJ7,BJ7&amp;"　"&amp;H7&amp;"年"),"")</f>
        <v>　8年</v>
      </c>
      <c r="DG7" s="387"/>
      <c r="DH7" s="388"/>
      <c r="DI7" s="383"/>
      <c r="DJ7" s="383"/>
      <c r="DO7" s="120">
        <v>7</v>
      </c>
      <c r="DP7" s="120" t="s">
        <v>105</v>
      </c>
      <c r="DQ7" s="120">
        <v>7</v>
      </c>
      <c r="DR7" s="120">
        <v>1932</v>
      </c>
    </row>
    <row r="8" spans="1:122" ht="15" customHeight="1">
      <c r="A8" s="290">
        <v>2</v>
      </c>
      <c r="B8" s="211" t="s">
        <v>622</v>
      </c>
      <c r="C8" s="212"/>
      <c r="D8" s="213"/>
      <c r="E8" s="214" t="s">
        <v>28</v>
      </c>
      <c r="F8" s="214">
        <v>7</v>
      </c>
      <c r="G8" s="215">
        <v>1600000</v>
      </c>
      <c r="H8" s="216"/>
      <c r="I8" s="216">
        <v>7</v>
      </c>
      <c r="J8" s="217"/>
      <c r="K8" s="218"/>
      <c r="L8" s="218">
        <f aca="true" t="shared" si="33" ref="L8:L37">IF(B8&lt;&gt;"",IF(E8&gt;20,IF(OR(E8="",F8="",G8="",I8=""),"未入力項目あり",""),IF(OR(E8="",F8="",G8="",H8="",I8=""),"未入力項目あり","")),IF(AND(J8="",K8=""),"","不要項目入力あり"))</f>
      </c>
      <c r="M8" s="191">
        <f t="shared" si="2"/>
      </c>
      <c r="N8" s="194">
        <f>IF(ISERROR(BZ8),"",BZ8)</f>
        <v>228799.99999999997</v>
      </c>
      <c r="O8" s="291">
        <f>IF(ISERROR(CA8),"",CB8)</f>
        <v>570400.0000000001</v>
      </c>
      <c r="P8" s="286">
        <f>IF(ISERROR(IF(AND(C8="◎",YEAR(AW8)&lt;1999),VLOOKUP(AS8,テーブル!$S$8:$W$106,2,0),"")),"",IF(AND(C8="◎",YEAR(AW8)&lt;1999),VLOOKUP(AS8,テーブル!$S$8:$W$106,2,0),""))</f>
      </c>
      <c r="Q8" s="276">
        <f aca="true" t="shared" si="34" ref="Q8:Q37">IF(P8&lt;&gt;"",P8,T8)</f>
      </c>
      <c r="R8" s="278">
        <f aca="true" t="shared" si="35" ref="R8:R37">IF((YEAR($R$4)-YEAR(AW8))*12+MONTH($R$4)-MONTH(AW8)&lt;0,0,(YEAR($R$4)-YEAR(AW8))*12+MONTH($R$4)-MONTH(AW8)+1)</f>
        <v>0</v>
      </c>
      <c r="S8" s="274" t="e">
        <f t="shared" si="3"/>
        <v>#VALUE!</v>
      </c>
      <c r="T8" s="276">
        <f>IF(AN8="旧定額",VLOOKUP(H8,[0]!旧償却率,2,0),IF(ISERROR(VLOOKUP(H8,[0]!新償却率,2,0)),"",IF(U8=0,"",VLOOKUP(H8,[0]!新償却率,2,0))))</f>
      </c>
      <c r="U8" s="274">
        <f aca="true" t="shared" si="36" ref="U8:U37">IF((YEAR($U$4)-YEAR(AW8))*12+MONTH($U$4)-MONTH(AW8)&lt;0,0,((YEAR($U$4)-YEAR(AW8))*12+MONTH($U$4)-MONTH(AW8))-R8+1)</f>
        <v>0</v>
      </c>
      <c r="V8" s="274">
        <f t="shared" si="4"/>
      </c>
      <c r="W8" s="274">
        <f t="shared" si="5"/>
        <v>0</v>
      </c>
      <c r="X8" s="378" t="e">
        <f>IF(AN8="旧定額",T8,VLOOKUP(H8,テーブル!$C$8:$D$106,2,0))</f>
        <v>#N/A</v>
      </c>
      <c r="Y8" s="274" t="e">
        <f t="shared" si="6"/>
        <v>#N/A</v>
      </c>
      <c r="Z8" s="274"/>
      <c r="AA8" s="276">
        <f>IF(ISERROR(VLOOKUP(I8,テーブル!$S$8:$W$106,2,0)),"",IF(AN8="旧定額",VLOOKUP(I8,テーブル!$S$8:$W$106,2,0),VLOOKUP(I8,テーブル!$C$8:$D$106,2,0)))</f>
        <v>0.143</v>
      </c>
      <c r="AB8" s="236">
        <f aca="true" t="shared" si="37" ref="AB8:AB37">DF8</f>
      </c>
      <c r="AC8" s="232"/>
      <c r="AD8" s="232"/>
      <c r="AE8" s="232"/>
      <c r="AF8" s="232"/>
      <c r="AG8" s="232"/>
      <c r="AH8" s="232"/>
      <c r="AI8" s="270"/>
      <c r="AJ8" s="270"/>
      <c r="AK8" s="270"/>
      <c r="AL8" s="270"/>
      <c r="AM8" s="233"/>
      <c r="AN8" s="248" t="str">
        <f t="shared" si="7"/>
        <v>新定額</v>
      </c>
      <c r="AO8" s="248">
        <f t="shared" si="8"/>
      </c>
      <c r="AP8" s="248">
        <f>IF(AO8&lt;&gt;"",INT(G8-VLOOKUP(H8,テーブル!$S$8:$W$106,4,0)*AO8*G8/1000000),"")</f>
      </c>
      <c r="AQ8" s="248">
        <f t="shared" si="9"/>
      </c>
      <c r="AR8" s="248">
        <f t="shared" si="10"/>
      </c>
      <c r="AS8" s="248">
        <f>IF(AR8&lt;0,"",IF(AR8&lt;&gt;"",VLOOKUP(H8,テーブル!$Q$8:$W$106,2,0),""))</f>
      </c>
      <c r="AT8" s="248">
        <f>IF(AS8&lt;&gt;"",G8-VLOOKUP(AS8,テーブル!$S$8:$W$106,4,0)*AR8*G8/1000000,G8)</f>
        <v>1600000</v>
      </c>
      <c r="AU8" s="268" t="e">
        <f>IF(AS8&lt;&gt;"",AT8-VLOOKUP(H8,テーブル!$S$8:$W$106,4,0)*(AO8-AR8)*G8/1000000,AT8-VLOOKUP(H8,テーブル!$S$8:$W$106,4,0)*(AO8)*G8/1000000)</f>
        <v>#N/A</v>
      </c>
      <c r="AV8" s="284">
        <f>IF(OR(U8&lt;9,ISERROR(U8)),0,INT(G8-W8))</f>
        <v>0</v>
      </c>
      <c r="AW8" s="249">
        <f t="shared" si="11"/>
        <v>42186</v>
      </c>
      <c r="AX8" s="248">
        <f>IF(AV8&lt;&gt;0,IF(AV8=INT(G8*0.05),"均等償却",IF((AV8-AY8)&lt;INT(G8*0.05),"通常最終","通常償却")),"")</f>
      </c>
      <c r="AY8" s="248">
        <f>IF(AV8&lt;&gt;0,IF(AV8&gt;INT(G8*0.05),(VLOOKUP(H8,テーブル!$S$2:T101,2,0)*G8*0.9),IF(AV8=INT(G8*0.05),INT((AV8-1)/5),0)),"")</f>
      </c>
      <c r="AZ8" s="248">
        <f t="shared" si="12"/>
      </c>
      <c r="BA8" s="248">
        <f t="shared" si="13"/>
      </c>
      <c r="BB8" s="248">
        <f t="shared" si="14"/>
      </c>
      <c r="BC8" s="248">
        <f t="shared" si="15"/>
      </c>
      <c r="BD8" s="261">
        <f t="shared" si="0"/>
      </c>
      <c r="BE8" s="248">
        <f t="shared" si="16"/>
      </c>
      <c r="BF8" s="248">
        <f t="shared" si="17"/>
      </c>
      <c r="BG8" s="248">
        <f t="shared" si="18"/>
      </c>
      <c r="BH8" s="248">
        <f t="shared" si="19"/>
      </c>
      <c r="BI8" s="248">
        <f aca="true" t="shared" si="38" ref="BI8:BI37">IF(BH8&lt;&gt;"",BH8+4,"")</f>
      </c>
      <c r="BJ8" s="248">
        <f t="shared" si="20"/>
      </c>
      <c r="BK8" s="263">
        <f t="shared" si="1"/>
      </c>
      <c r="BL8" s="251">
        <f aca="true" t="shared" si="39" ref="BL8:BL37">IF(BE8&lt;&gt;"",IF(BJ8="通常償却",BA8-ROUNDUP(BB8/12,0)*BD8,IF(BJ8="通常最終",INT(G8*0.05),IF(BJ8="均等償却",INT(G8*0.05)-((G8*0.05-0.6)/5)*($BC$3+1-BH8),IF(BJ8="均等最終",1,1)))),"")</f>
      </c>
      <c r="BM8" s="248">
        <f t="shared" si="21"/>
        <v>201507</v>
      </c>
      <c r="BN8" s="379">
        <f t="shared" si="22"/>
        <v>-78</v>
      </c>
      <c r="BO8" s="380">
        <f t="shared" si="23"/>
        <v>0</v>
      </c>
      <c r="BP8" s="248">
        <f>IF(BN8&lt;&gt;"",IF(BN8&gt;0,G8-BO8,IF(BO8=0,G8,G8)),"")</f>
        <v>1600000</v>
      </c>
      <c r="BQ8" s="248">
        <f t="shared" si="24"/>
        <v>19066.666666666664</v>
      </c>
      <c r="BR8" s="248">
        <f>IF(BN8&lt;&gt;"",IF(BN8&gt;0,12*(LEFT($BU$3,4)-2008),IF(BN8&lt;=0,12*(LEFT($BU$3,4)-LEFT(BM8,4))+(13-RIGHT(BM8,2)),"")),"")</f>
        <v>54</v>
      </c>
      <c r="BS8" s="392">
        <f aca="true" t="shared" si="40" ref="BS8:BS37">IF(BR8&lt;&gt;"",IF((BP8-BQ8*(BR8-IF(BR8&lt;12,BR8,12)))=0,1,BP8-BQ8*(BR8-IF(BR8&lt;12,BR8,12))),0)</f>
        <v>799200.0000000001</v>
      </c>
      <c r="BT8" s="392" t="str">
        <f aca="true" t="shared" si="41" ref="BT8:BT37">IF(BS8=0,"-",IF(BS8&lt;=1,"終了",IF(BS8-BQ8*12&lt;=2,"最終回",IF(BR8&lt;12,"初回","通常回"))))</f>
        <v>通常回</v>
      </c>
      <c r="BU8" s="338">
        <f t="shared" si="25"/>
        <v>228799.99999999997</v>
      </c>
      <c r="BV8" s="251">
        <f>IF(BU8&lt;&gt;"",IF(BU8=0,1,BS8-BU8),"")</f>
        <v>570400.0000000001</v>
      </c>
      <c r="BW8" s="339">
        <f t="shared" si="27"/>
        <v>228799.99999999997</v>
      </c>
      <c r="BX8" s="338">
        <f t="shared" si="28"/>
        <v>570400.0000000001</v>
      </c>
      <c r="BY8" s="338">
        <f aca="true" t="shared" si="42" ref="BY8:BY37">IF(BJ8="均等最終",(IF(K8&lt;&gt;"",(BW8*K8/12),BW8)),IF(K8&lt;&gt;"",(BW8*K8/12),BW8))</f>
        <v>228799.99999999997</v>
      </c>
      <c r="BZ8" s="341">
        <f aca="true" t="shared" si="43" ref="BZ8:BZ37">IF(OR(J8&lt;&gt;"",J8=100%),(BY8*J8),BY8)</f>
        <v>228799.99999999997</v>
      </c>
      <c r="CA8" s="346">
        <f aca="true" t="shared" si="44" ref="CA8:CA37">IF(K8&lt;&gt;"",BX8+BW8-BY8,BX8)</f>
        <v>570400.0000000001</v>
      </c>
      <c r="CB8" s="251">
        <f aca="true" t="shared" si="45" ref="CB8:CB37">IF(ISERROR(BX8)=TRUE,"",IF(BX8&lt;&gt;CA8,CA8,BX8))</f>
        <v>570400.0000000001</v>
      </c>
      <c r="CC8" s="248"/>
      <c r="CD8" s="233"/>
      <c r="CE8" s="233"/>
      <c r="CF8" s="233"/>
      <c r="CG8" s="233"/>
      <c r="CH8" s="233"/>
      <c r="CI8" s="233"/>
      <c r="CJ8" s="233"/>
      <c r="CK8" s="233"/>
      <c r="CL8" s="233"/>
      <c r="CM8" s="233"/>
      <c r="CN8" s="120"/>
      <c r="CO8" s="73">
        <v>2</v>
      </c>
      <c r="CP8" s="74" t="str">
        <f aca="true" t="shared" si="46" ref="CP8:CP37">IF(B8&lt;&gt;"",B8,"")</f>
        <v>えだまめ自脱機械</v>
      </c>
      <c r="CQ8" s="75">
        <f aca="true" t="shared" si="47" ref="CQ8:CQ37">IF(D8&lt;&gt;"",D8,"")</f>
      </c>
      <c r="CR8" s="76" t="str">
        <f aca="true" t="shared" si="48" ref="CR8:CR37">IF(E8&lt;&gt;"",E8,"")</f>
        <v>H27</v>
      </c>
      <c r="CS8" s="76">
        <f aca="true" t="shared" si="49" ref="CS8:CS37">IF(F8&lt;&gt;"",F8,"")</f>
        <v>7</v>
      </c>
      <c r="CT8" s="78">
        <f aca="true" t="shared" si="50" ref="CT8:CT37">IF(K8&lt;&gt;"",K8,"")</f>
      </c>
      <c r="CU8" s="77">
        <f aca="true" t="shared" si="51" ref="CU8:CU37">IF(G8&lt;&gt;"",G8,"")</f>
        <v>1600000</v>
      </c>
      <c r="CV8" s="77">
        <f t="shared" si="29"/>
        <v>1600000</v>
      </c>
      <c r="CW8" s="228" t="str">
        <f aca="true" t="shared" si="52" ref="CW8:CW37">AN8</f>
        <v>新定額</v>
      </c>
      <c r="CX8" s="302">
        <f>IF(AN8&lt;&gt;"",I8,"")</f>
        <v>7</v>
      </c>
      <c r="CY8" s="340">
        <f t="shared" si="30"/>
        <v>0.143</v>
      </c>
      <c r="CZ8" s="79">
        <f aca="true" t="shared" si="53" ref="CZ8:CZ37">IF(CR8&lt;&gt;"",IF(CR8=$CS$1,13-CS8,IF(CT8&lt;&gt;"",CT8,12)),"")</f>
        <v>12</v>
      </c>
      <c r="DA8" s="80" t="str">
        <f aca="true" t="shared" si="54" ref="DA8:DA38">IF(CZ8&lt;&gt;"","/12","")</f>
        <v>/12</v>
      </c>
      <c r="DB8" s="343">
        <f>IF(ISERROR(BW8),"",IF(BY8&lt;&gt;"",ROUND(BY8,0),""))</f>
        <v>228800</v>
      </c>
      <c r="DC8" s="81" t="str">
        <f t="shared" si="31"/>
        <v>100%</v>
      </c>
      <c r="DD8" s="85">
        <f>IF(ISERROR(BZ8),"",IF(BZ8&lt;&gt;"",ROUND(BZ8,0),""))</f>
        <v>228800</v>
      </c>
      <c r="DE8" s="343">
        <f>IF(ISERROR(BX8),"",IF(BX8&lt;&gt;"",ROUND(CB8,0),""))</f>
        <v>570400</v>
      </c>
      <c r="DF8" s="306">
        <f t="shared" si="32"/>
      </c>
      <c r="DG8" s="387"/>
      <c r="DH8" s="388"/>
      <c r="DI8" s="383"/>
      <c r="DJ8" s="383"/>
      <c r="DO8" s="120">
        <v>8</v>
      </c>
      <c r="DP8" s="120" t="s">
        <v>106</v>
      </c>
      <c r="DQ8" s="120">
        <v>8</v>
      </c>
      <c r="DR8" s="120">
        <v>1933</v>
      </c>
    </row>
    <row r="9" spans="1:122" ht="15" customHeight="1">
      <c r="A9" s="292">
        <v>3</v>
      </c>
      <c r="B9" s="211" t="s">
        <v>623</v>
      </c>
      <c r="C9" s="212"/>
      <c r="D9" s="213"/>
      <c r="E9" s="214" t="s">
        <v>27</v>
      </c>
      <c r="F9" s="214">
        <v>3</v>
      </c>
      <c r="G9" s="215">
        <v>5974500</v>
      </c>
      <c r="H9" s="216">
        <v>8</v>
      </c>
      <c r="I9" s="216">
        <v>7</v>
      </c>
      <c r="J9" s="217"/>
      <c r="K9" s="218"/>
      <c r="L9" s="218">
        <f t="shared" si="33"/>
      </c>
      <c r="M9" s="191">
        <f t="shared" si="2"/>
      </c>
      <c r="N9" s="194">
        <f aca="true" t="shared" si="55" ref="N9:N37">IF(ISERROR(BZ9),"",BZ9)</f>
        <v>854353.5</v>
      </c>
      <c r="O9" s="291">
        <f aca="true" t="shared" si="56" ref="O9:O37">IF(ISERROR(CA9),"",CB9)</f>
        <v>990771.25</v>
      </c>
      <c r="P9" s="286">
        <f>IF(ISERROR(IF(AND(C9="◎",YEAR(AW9)&lt;1999),VLOOKUP(AS9,テーブル!$S$8:$W$106,2,0),"")),"",IF(AND(C9="◎",YEAR(AW9)&lt;1999),VLOOKUP(AS9,テーブル!$S$8:$W$106,2,0),""))</f>
      </c>
      <c r="Q9" s="276">
        <f t="shared" si="34"/>
      </c>
      <c r="R9" s="278">
        <f t="shared" si="35"/>
        <v>0</v>
      </c>
      <c r="S9" s="274" t="e">
        <f t="shared" si="3"/>
        <v>#VALUE!</v>
      </c>
      <c r="T9" s="276">
        <f>IF(AN9="旧定額",VLOOKUP(H9,[0]!旧償却率,2,0),IF(ISERROR(VLOOKUP(H9,[0]!新償却率,2,0)),"",IF(U9=0,"",VLOOKUP(H9,[0]!新償却率,2,0))))</f>
      </c>
      <c r="U9" s="274">
        <f t="shared" si="36"/>
        <v>0</v>
      </c>
      <c r="V9" s="274">
        <f t="shared" si="4"/>
      </c>
      <c r="W9" s="274">
        <f t="shared" si="5"/>
        <v>0</v>
      </c>
      <c r="X9" s="378">
        <f>IF(AN9="旧定額",T9,VLOOKUP(H9,テーブル!$C$8:$D$106,2,0))</f>
        <v>0.125</v>
      </c>
      <c r="Y9" s="274">
        <f t="shared" si="6"/>
        <v>746812.5</v>
      </c>
      <c r="Z9" s="274"/>
      <c r="AA9" s="276">
        <f>IF(ISERROR(VLOOKUP(I9,テーブル!$S$8:$W$106,2,0)),"",IF(AN9="旧定額",VLOOKUP(I9,テーブル!$S$8:$W$106,2,0),VLOOKUP(I9,テーブル!$C$8:$D$106,2,0)))</f>
        <v>0.143</v>
      </c>
      <c r="AB9" s="236" t="str">
        <f t="shared" si="37"/>
        <v>　8年</v>
      </c>
      <c r="AC9" s="232"/>
      <c r="AD9" s="232"/>
      <c r="AE9" s="232"/>
      <c r="AF9" s="232"/>
      <c r="AG9" s="232"/>
      <c r="AH9" s="232"/>
      <c r="AI9" s="270"/>
      <c r="AJ9" s="270"/>
      <c r="AK9" s="270"/>
      <c r="AL9" s="270"/>
      <c r="AM9" s="233"/>
      <c r="AN9" s="248" t="str">
        <f t="shared" si="7"/>
        <v>新定額</v>
      </c>
      <c r="AO9" s="248">
        <f t="shared" si="8"/>
      </c>
      <c r="AP9" s="248">
        <f>IF(AO9&lt;&gt;"",INT(G9-VLOOKUP(H9,テーブル!$S$8:$W$106,4,0)*AO9*G9/1000000),"")</f>
      </c>
      <c r="AQ9" s="248">
        <f t="shared" si="9"/>
      </c>
      <c r="AR9" s="248">
        <f t="shared" si="10"/>
      </c>
      <c r="AS9" s="248">
        <f>IF(AR9&lt;0,"",IF(AR9&lt;&gt;"",VLOOKUP(H9,テーブル!$Q$8:$W$106,2,0),""))</f>
      </c>
      <c r="AT9" s="248">
        <f>IF(AS9&lt;&gt;"",G9-VLOOKUP(AS9,テーブル!$S$8:$W$106,4,0)*AR9*G9/1000000,G9)</f>
        <v>5974500</v>
      </c>
      <c r="AU9" s="268" t="e">
        <f>IF(AS9&lt;&gt;"",AT9-VLOOKUP(H9,テーブル!$S$8:$W$106,4,0)*(AO9-AR9)*G9/1000000,AT9-VLOOKUP(H9,テーブル!$S$8:$W$106,4,0)*(AO9)*G9/1000000)</f>
        <v>#VALUE!</v>
      </c>
      <c r="AV9" s="284">
        <f>IF(OR(U9&lt;9,ISERROR(U9)),0,INT(G9-W9))</f>
        <v>0</v>
      </c>
      <c r="AW9" s="249">
        <f t="shared" si="11"/>
        <v>41699</v>
      </c>
      <c r="AX9" s="248">
        <f>IF(AV9&lt;&gt;0,IF(AV9=INT(G9*0.05),"均等償却",IF((AV9-AY9)&lt;INT(G9*0.05),"通常最終","通常償却")),"")</f>
      </c>
      <c r="AY9" s="248">
        <f>IF(AV9&lt;&gt;0,IF(AV9&gt;INT(G9*0.05),(VLOOKUP(H9,テーブル!$S$2:T102,2,0)*G9*0.9),IF(AV9=INT(G9*0.05),INT((AV9-1)/5),0)),"")</f>
      </c>
      <c r="AZ9" s="248">
        <f t="shared" si="12"/>
      </c>
      <c r="BA9" s="248">
        <f t="shared" si="13"/>
      </c>
      <c r="BB9" s="248">
        <f t="shared" si="14"/>
      </c>
      <c r="BC9" s="248">
        <f t="shared" si="15"/>
      </c>
      <c r="BD9" s="261">
        <f t="shared" si="0"/>
      </c>
      <c r="BE9" s="248">
        <f>IF(BC9&lt;&gt;"",IF(BC9&gt;0,2008+ROUNDUP(BC9/12,0),IF(AX9="均等償却",2008-1,IF(AX9="通常最終",2008))),"")</f>
      </c>
      <c r="BF9" s="248">
        <f>IF(BE9&lt;&gt;"",BA9-BD9*(BE9-2009),"")</f>
      </c>
      <c r="BG9" s="248">
        <f t="shared" si="18"/>
      </c>
      <c r="BH9" s="248">
        <f t="shared" si="19"/>
      </c>
      <c r="BI9" s="248">
        <f t="shared" si="38"/>
      </c>
      <c r="BJ9" s="248">
        <f t="shared" si="20"/>
      </c>
      <c r="BK9" s="263">
        <f t="shared" si="1"/>
      </c>
      <c r="BL9" s="251">
        <f t="shared" si="39"/>
      </c>
      <c r="BM9" s="248">
        <f t="shared" si="21"/>
        <v>201403</v>
      </c>
      <c r="BN9" s="379">
        <f t="shared" si="22"/>
        <v>-62</v>
      </c>
      <c r="BO9" s="380">
        <f t="shared" si="23"/>
        <v>0</v>
      </c>
      <c r="BP9" s="248">
        <f aca="true" t="shared" si="57" ref="BP9:BP37">IF(BN9&lt;&gt;"",IF(BN9&gt;0,G9-BO9,IF(BO9=0,G9,G9)),"")</f>
        <v>5974500</v>
      </c>
      <c r="BQ9" s="248">
        <f t="shared" si="24"/>
        <v>71196.125</v>
      </c>
      <c r="BR9" s="248">
        <f>IF(BN9&lt;&gt;"",IF(BN9&gt;0,12*(LEFT($BU$3,4)-2008),IF(BN9&lt;=0,12*(LEFT($BU$3,4)-LEFT(BM9,4))+(13-RIGHT(BM9,2)),"")),"")</f>
        <v>70</v>
      </c>
      <c r="BS9" s="392">
        <f t="shared" si="40"/>
        <v>1845124.75</v>
      </c>
      <c r="BT9" s="392" t="str">
        <f t="shared" si="41"/>
        <v>通常回</v>
      </c>
      <c r="BU9" s="338">
        <f>IF(BT9="終了",0,IF(BT9="通常回",BQ9*12,IF(BT9="最終回",BS9-1,IF(BT9="初回",BR9*BQ9,""))))</f>
        <v>854353.5</v>
      </c>
      <c r="BV9" s="251">
        <f t="shared" si="26"/>
        <v>990771.25</v>
      </c>
      <c r="BW9" s="339">
        <f t="shared" si="27"/>
        <v>854353.5</v>
      </c>
      <c r="BX9" s="338">
        <f t="shared" si="28"/>
        <v>990771.25</v>
      </c>
      <c r="BY9" s="338">
        <f t="shared" si="42"/>
        <v>854353.5</v>
      </c>
      <c r="BZ9" s="341">
        <f t="shared" si="43"/>
        <v>854353.5</v>
      </c>
      <c r="CA9" s="346">
        <f t="shared" si="44"/>
        <v>990771.25</v>
      </c>
      <c r="CB9" s="251">
        <f t="shared" si="45"/>
        <v>990771.25</v>
      </c>
      <c r="CC9" s="248"/>
      <c r="CD9" s="233"/>
      <c r="CE9" s="233"/>
      <c r="CF9" s="233"/>
      <c r="CG9" s="233"/>
      <c r="CH9" s="233"/>
      <c r="CI9" s="233"/>
      <c r="CJ9" s="233"/>
      <c r="CK9" s="233"/>
      <c r="CL9" s="233"/>
      <c r="CM9" s="233"/>
      <c r="CN9" s="120"/>
      <c r="CO9" s="70">
        <v>3</v>
      </c>
      <c r="CP9" s="74" t="str">
        <f t="shared" si="46"/>
        <v>トラクター（乗用）</v>
      </c>
      <c r="CQ9" s="82">
        <f t="shared" si="47"/>
      </c>
      <c r="CR9" s="83" t="str">
        <f t="shared" si="48"/>
        <v>H26</v>
      </c>
      <c r="CS9" s="83">
        <f t="shared" si="49"/>
        <v>3</v>
      </c>
      <c r="CT9" s="86">
        <f t="shared" si="50"/>
      </c>
      <c r="CU9" s="85">
        <f t="shared" si="51"/>
        <v>5974500</v>
      </c>
      <c r="CV9" s="85">
        <f t="shared" si="29"/>
        <v>5974500</v>
      </c>
      <c r="CW9" s="229" t="str">
        <f t="shared" si="52"/>
        <v>新定額</v>
      </c>
      <c r="CX9" s="302">
        <f aca="true" t="shared" si="58" ref="CX9:CX37">IF(AN9&lt;&gt;"",I9,"")</f>
        <v>7</v>
      </c>
      <c r="CY9" s="340">
        <f t="shared" si="30"/>
        <v>0.143</v>
      </c>
      <c r="CZ9" s="79">
        <f t="shared" si="53"/>
        <v>12</v>
      </c>
      <c r="DA9" s="80" t="str">
        <f t="shared" si="54"/>
        <v>/12</v>
      </c>
      <c r="DB9" s="343">
        <f aca="true" t="shared" si="59" ref="DB9:DB37">IF(ISERROR(BW9),"",IF(BY9&lt;&gt;"",ROUND(BY9,0),""))</f>
        <v>854354</v>
      </c>
      <c r="DC9" s="87" t="str">
        <f t="shared" si="31"/>
        <v>100%</v>
      </c>
      <c r="DD9" s="85">
        <f>IF(ISERROR(BZ9),"",IF(BZ9&lt;&gt;"",ROUND(BZ9,0),""))</f>
        <v>854354</v>
      </c>
      <c r="DE9" s="343">
        <f aca="true" t="shared" si="60" ref="DE9:DE37">IF(ISERROR(BX9),"",IF(BX9&lt;&gt;"",ROUND(CB9,0),""))</f>
        <v>990771</v>
      </c>
      <c r="DF9" s="306" t="str">
        <f t="shared" si="32"/>
        <v>　8年</v>
      </c>
      <c r="DG9" s="387"/>
      <c r="DH9" s="388"/>
      <c r="DI9" s="383"/>
      <c r="DJ9" s="383"/>
      <c r="DO9" s="120">
        <v>9</v>
      </c>
      <c r="DP9" s="120" t="s">
        <v>107</v>
      </c>
      <c r="DQ9" s="120">
        <v>9</v>
      </c>
      <c r="DR9" s="120">
        <v>1934</v>
      </c>
    </row>
    <row r="10" spans="1:122" ht="15" customHeight="1">
      <c r="A10" s="290">
        <v>4</v>
      </c>
      <c r="B10" s="211" t="s">
        <v>624</v>
      </c>
      <c r="C10" s="212"/>
      <c r="D10" s="213"/>
      <c r="E10" s="214" t="s">
        <v>396</v>
      </c>
      <c r="F10" s="214">
        <v>9</v>
      </c>
      <c r="G10" s="215">
        <v>315000</v>
      </c>
      <c r="H10" s="216">
        <v>5</v>
      </c>
      <c r="I10" s="216">
        <v>7</v>
      </c>
      <c r="J10" s="217"/>
      <c r="K10" s="218"/>
      <c r="L10" s="218">
        <f t="shared" si="33"/>
      </c>
      <c r="M10" s="191">
        <f t="shared" si="2"/>
      </c>
      <c r="N10" s="194">
        <f t="shared" si="55"/>
        <v>0</v>
      </c>
      <c r="O10" s="291">
        <f t="shared" si="56"/>
        <v>1</v>
      </c>
      <c r="P10" s="286">
        <f>IF(ISERROR(IF(AND(C10="◎",YEAR(AW10)&lt;1999),VLOOKUP(AS10,テーブル!$S$8:$W$106,2,0),"")),"",IF(AND(C10="◎",YEAR(AW10)&lt;1999),VLOOKUP(AS10,テーブル!$S$8:$W$106,2,0),""))</f>
      </c>
      <c r="Q10" s="276">
        <f t="shared" si="34"/>
        <v>0.2</v>
      </c>
      <c r="R10" s="278">
        <f t="shared" si="35"/>
        <v>0</v>
      </c>
      <c r="S10" s="274">
        <f t="shared" si="3"/>
        <v>0</v>
      </c>
      <c r="T10" s="276">
        <f>IF(AN10="旧定額",VLOOKUP(H10,[0]!旧償却率,2,0),IF(ISERROR(VLOOKUP(H10,[0]!新償却率,2,0)),"",IF(U10=0,"",VLOOKUP(H10,[0]!新償却率,2,0))))</f>
        <v>0.2</v>
      </c>
      <c r="U10" s="274">
        <f>IF((YEAR($U$4)-YEAR(AW10))*12+MONTH($U$4)-MONTH(AW10)&lt;0,0,((YEAR($U$4)-YEAR(AW10))*12+MONTH($U$4)-MONTH(AW10))-R10+1)</f>
        <v>52</v>
      </c>
      <c r="V10" s="274">
        <f t="shared" si="4"/>
        <v>245700</v>
      </c>
      <c r="W10" s="274">
        <f t="shared" si="5"/>
        <v>245700</v>
      </c>
      <c r="X10" s="378">
        <f>IF(AN10="旧定額",T10,VLOOKUP(H10,テーブル!$C$8:$D$106,2,0))</f>
        <v>0.2</v>
      </c>
      <c r="Y10" s="274">
        <f t="shared" si="6"/>
        <v>56700</v>
      </c>
      <c r="Z10" s="274"/>
      <c r="AA10" s="276">
        <f>IF(ISERROR(VLOOKUP(I10,テーブル!$S$8:$W$106,2,0)),"",IF(AN10="旧定額",VLOOKUP(I10,テーブル!$S$8:$W$106,2,0),VLOOKUP(I10,テーブル!$C$8:$D$106,2,0)))</f>
        <v>0.142</v>
      </c>
      <c r="AB10" s="236" t="str">
        <f t="shared" si="37"/>
        <v>終了　5年</v>
      </c>
      <c r="AC10" s="232"/>
      <c r="AD10" s="232"/>
      <c r="AE10" s="232"/>
      <c r="AF10" s="232"/>
      <c r="AG10" s="232"/>
      <c r="AH10" s="232"/>
      <c r="AI10" s="270"/>
      <c r="AJ10" s="270"/>
      <c r="AK10" s="270"/>
      <c r="AL10" s="270"/>
      <c r="AM10" s="233"/>
      <c r="AN10" s="248" t="str">
        <f t="shared" si="7"/>
        <v>旧定額</v>
      </c>
      <c r="AO10" s="248">
        <f t="shared" si="8"/>
        <v>52</v>
      </c>
      <c r="AP10" s="248">
        <f>IF(AO10&lt;&gt;"",INT(G10-VLOOKUP(H10,テーブル!$S$8:$W$106,4,0)*AO10*G10/1000000),"")</f>
        <v>69300</v>
      </c>
      <c r="AQ10" s="248">
        <f t="shared" si="9"/>
        <v>69300</v>
      </c>
      <c r="AR10" s="248">
        <f t="shared" si="10"/>
      </c>
      <c r="AS10" s="248">
        <f>IF(AR10&lt;0,"",IF(AR10&lt;&gt;"",VLOOKUP(H10,テーブル!$Q$8:$W$106,2,0),""))</f>
      </c>
      <c r="AT10" s="248">
        <f>IF(AS10&lt;&gt;"",G10-VLOOKUP(AS10,テーブル!$S$8:$W$106,4,0)*AR10*G10/1000000,G10)</f>
        <v>315000</v>
      </c>
      <c r="AU10" s="268">
        <f>IF(AS10&lt;&gt;"",AT10-VLOOKUP(H10,テーブル!$S$8:$W$106,4,0)*(AO10-AR10)*G10/1000000,AT10-VLOOKUP(H10,テーブル!$S$8:$W$106,4,0)*(AO10)*G10/1000000)</f>
        <v>69300</v>
      </c>
      <c r="AV10" s="284">
        <f aca="true" t="shared" si="61" ref="AV10:AV37">IF(OR(U10&lt;9,ISERROR(U10)),0,INT(G10-W10))</f>
        <v>69300</v>
      </c>
      <c r="AW10" s="249">
        <f t="shared" si="11"/>
        <v>37865</v>
      </c>
      <c r="AX10" s="248" t="str">
        <f>IF(AV10&lt;&gt;0,IF(AV10=INT(G10*0.05),"均等償却",IF((AV10-AY10)&lt;INT(G10*0.05),"通常最終","通常償却")),"")</f>
        <v>通常最終</v>
      </c>
      <c r="AY10" s="248">
        <f>IF(AV10&lt;&gt;0,IF(AV10&gt;INT(G10*0.05),(VLOOKUP(H10,テーブル!$S$2:T103,2,0)*G10*0.9),IF(AV10=INT(G10*0.05),INT((AV10-1)/5),0)),"")</f>
        <v>56700</v>
      </c>
      <c r="AZ10" s="248">
        <f t="shared" si="12"/>
        <v>53550</v>
      </c>
      <c r="BA10" s="248">
        <f t="shared" si="13"/>
        <v>15750</v>
      </c>
      <c r="BB10" s="248">
        <f t="shared" si="14"/>
        <v>132</v>
      </c>
      <c r="BC10" s="248">
        <f t="shared" si="15"/>
        <v>0</v>
      </c>
      <c r="BD10" s="261">
        <f t="shared" si="0"/>
        <v>40257</v>
      </c>
      <c r="BE10" s="248">
        <f t="shared" si="16"/>
        <v>2008</v>
      </c>
      <c r="BF10" s="248">
        <f t="shared" si="17"/>
        <v>56007</v>
      </c>
      <c r="BG10" s="248">
        <f t="shared" si="18"/>
        <v>40257</v>
      </c>
      <c r="BH10" s="248">
        <f t="shared" si="19"/>
        <v>2009</v>
      </c>
      <c r="BI10" s="248">
        <f t="shared" si="38"/>
        <v>2013</v>
      </c>
      <c r="BJ10" s="248" t="str">
        <f t="shared" si="20"/>
        <v>終了</v>
      </c>
      <c r="BK10" s="263">
        <f t="shared" si="1"/>
        <v>0</v>
      </c>
      <c r="BL10" s="251">
        <f t="shared" si="39"/>
        <v>1</v>
      </c>
      <c r="BM10" s="248">
        <f t="shared" si="21"/>
        <v>200309</v>
      </c>
      <c r="BN10" s="379">
        <f t="shared" si="22"/>
        <v>0</v>
      </c>
      <c r="BO10" s="380">
        <f t="shared" si="23"/>
        <v>0</v>
      </c>
      <c r="BP10" s="248">
        <f t="shared" si="57"/>
        <v>315000</v>
      </c>
      <c r="BQ10" s="248">
        <f t="shared" si="24"/>
        <v>3753.75</v>
      </c>
      <c r="BR10" s="248">
        <f aca="true" t="shared" si="62" ref="BR10:BR37">IF(BN10&lt;&gt;"",IF(BN10&gt;0,12*(LEFT($BU$3,4)-2008),IF(BN10&lt;=0,12*(LEFT($BU$3,4)-LEFT(BM10,4))+(13-RIGHT(BM10,2)),"")),"")</f>
        <v>196</v>
      </c>
      <c r="BS10" s="392">
        <f t="shared" si="40"/>
        <v>-375690</v>
      </c>
      <c r="BT10" s="392" t="str">
        <f t="shared" si="41"/>
        <v>終了</v>
      </c>
      <c r="BU10" s="338">
        <f t="shared" si="25"/>
        <v>0</v>
      </c>
      <c r="BV10" s="251">
        <f t="shared" si="26"/>
        <v>1</v>
      </c>
      <c r="BW10" s="339">
        <f t="shared" si="27"/>
        <v>0</v>
      </c>
      <c r="BX10" s="338">
        <f t="shared" si="28"/>
        <v>1</v>
      </c>
      <c r="BY10" s="338">
        <f t="shared" si="42"/>
        <v>0</v>
      </c>
      <c r="BZ10" s="341">
        <f t="shared" si="43"/>
        <v>0</v>
      </c>
      <c r="CA10" s="346">
        <f t="shared" si="44"/>
        <v>1</v>
      </c>
      <c r="CB10" s="251">
        <f t="shared" si="45"/>
        <v>1</v>
      </c>
      <c r="CC10" s="248"/>
      <c r="CD10" s="233"/>
      <c r="CE10" s="233"/>
      <c r="CF10" s="233"/>
      <c r="CG10" s="233"/>
      <c r="CH10" s="233"/>
      <c r="CI10" s="233"/>
      <c r="CJ10" s="233"/>
      <c r="CK10" s="233"/>
      <c r="CL10" s="233"/>
      <c r="CM10" s="233"/>
      <c r="CN10" s="120"/>
      <c r="CO10" s="73">
        <v>4</v>
      </c>
      <c r="CP10" s="74" t="str">
        <f t="shared" si="46"/>
        <v>グレーダー</v>
      </c>
      <c r="CQ10" s="82">
        <f t="shared" si="47"/>
      </c>
      <c r="CR10" s="83" t="str">
        <f t="shared" si="48"/>
        <v>H15</v>
      </c>
      <c r="CS10" s="83">
        <f t="shared" si="49"/>
        <v>9</v>
      </c>
      <c r="CT10" s="86">
        <f t="shared" si="50"/>
      </c>
      <c r="CU10" s="85">
        <f t="shared" si="51"/>
        <v>315000</v>
      </c>
      <c r="CV10" s="85">
        <f t="shared" si="29"/>
        <v>283500</v>
      </c>
      <c r="CW10" s="229" t="str">
        <f t="shared" si="52"/>
        <v>旧定額</v>
      </c>
      <c r="CX10" s="302">
        <f t="shared" si="58"/>
        <v>7</v>
      </c>
      <c r="CY10" s="340">
        <f t="shared" si="30"/>
        <v>0.142</v>
      </c>
      <c r="CZ10" s="79">
        <f t="shared" si="53"/>
        <v>12</v>
      </c>
      <c r="DA10" s="80" t="str">
        <f t="shared" si="54"/>
        <v>/12</v>
      </c>
      <c r="DB10" s="343">
        <f t="shared" si="59"/>
        <v>0</v>
      </c>
      <c r="DC10" s="87" t="str">
        <f t="shared" si="31"/>
        <v>100%</v>
      </c>
      <c r="DD10" s="85">
        <f>IF(ISERROR(BZ10),"",IF(BZ10&lt;&gt;"",ROUND(BZ10,0),""))</f>
        <v>0</v>
      </c>
      <c r="DE10" s="343">
        <f t="shared" si="60"/>
        <v>1</v>
      </c>
      <c r="DF10" s="306" t="str">
        <f t="shared" si="32"/>
        <v>終了　5年</v>
      </c>
      <c r="DG10" s="387"/>
      <c r="DH10" s="388"/>
      <c r="DI10" s="383"/>
      <c r="DJ10" s="383"/>
      <c r="DO10" s="120">
        <v>10</v>
      </c>
      <c r="DP10" s="120" t="s">
        <v>108</v>
      </c>
      <c r="DQ10" s="120">
        <v>10</v>
      </c>
      <c r="DR10" s="120">
        <v>1935</v>
      </c>
    </row>
    <row r="11" spans="1:122" ht="15" customHeight="1">
      <c r="A11" s="292">
        <v>5</v>
      </c>
      <c r="B11" s="211" t="s">
        <v>650</v>
      </c>
      <c r="C11" s="212"/>
      <c r="D11" s="213"/>
      <c r="E11" s="214" t="s">
        <v>450</v>
      </c>
      <c r="F11" s="214">
        <v>3</v>
      </c>
      <c r="G11" s="215">
        <v>723600</v>
      </c>
      <c r="H11" s="216"/>
      <c r="I11" s="216">
        <v>7</v>
      </c>
      <c r="J11" s="217"/>
      <c r="K11" s="218"/>
      <c r="L11" s="218">
        <f t="shared" si="33"/>
      </c>
      <c r="M11" s="191">
        <f t="shared" si="2"/>
      </c>
      <c r="N11" s="194">
        <f t="shared" si="55"/>
        <v>86229</v>
      </c>
      <c r="O11" s="291">
        <f t="shared" si="56"/>
        <v>637371</v>
      </c>
      <c r="P11" s="286">
        <f>IF(ISERROR(IF(AND(C11="◎",YEAR(AW11)&lt;1999),VLOOKUP(AS11,テーブル!$S$8:$W$106,2,0),"")),"",IF(AND(C11="◎",YEAR(AW11)&lt;1999),VLOOKUP(AS11,テーブル!$S$8:$W$106,2,0),""))</f>
      </c>
      <c r="Q11" s="276">
        <f t="shared" si="34"/>
      </c>
      <c r="R11" s="278">
        <f t="shared" si="35"/>
        <v>0</v>
      </c>
      <c r="S11" s="274" t="e">
        <f t="shared" si="3"/>
        <v>#VALUE!</v>
      </c>
      <c r="T11" s="276">
        <f>IF(AN11="旧定額",VLOOKUP(H11,[0]!旧償却率,2,0),IF(ISERROR(VLOOKUP(H11,[0]!新償却率,2,0)),"",IF(U11=0,"",VLOOKUP(H11,[0]!新償却率,2,0))))</f>
      </c>
      <c r="U11" s="274">
        <f t="shared" si="36"/>
        <v>0</v>
      </c>
      <c r="V11" s="274">
        <f t="shared" si="4"/>
      </c>
      <c r="W11" s="274">
        <f t="shared" si="5"/>
        <v>0</v>
      </c>
      <c r="X11" s="378" t="e">
        <f>IF(AN11="旧定額",T11,VLOOKUP(H11,テーブル!$C$8:$D$106,2,0))</f>
        <v>#N/A</v>
      </c>
      <c r="Y11" s="274" t="e">
        <f t="shared" si="6"/>
        <v>#N/A</v>
      </c>
      <c r="Z11" s="274"/>
      <c r="AA11" s="276">
        <f>IF(ISERROR(VLOOKUP(I11,テーブル!$S$8:$W$106,2,0)),"",IF(AN11="旧定額",VLOOKUP(I11,テーブル!$S$8:$W$106,2,0),VLOOKUP(I11,テーブル!$C$8:$D$106,2,0)))</f>
        <v>0.143</v>
      </c>
      <c r="AB11" s="236">
        <f t="shared" si="37"/>
      </c>
      <c r="AC11" s="232"/>
      <c r="AD11" s="232"/>
      <c r="AE11" s="232"/>
      <c r="AF11" s="232"/>
      <c r="AG11" s="232"/>
      <c r="AH11" s="232"/>
      <c r="AI11" s="270"/>
      <c r="AJ11" s="270"/>
      <c r="AK11" s="270"/>
      <c r="AL11" s="270"/>
      <c r="AM11" s="233"/>
      <c r="AN11" s="248" t="str">
        <f t="shared" si="7"/>
        <v>新定額</v>
      </c>
      <c r="AO11" s="248">
        <f t="shared" si="8"/>
      </c>
      <c r="AP11" s="248">
        <f>IF(AO11&lt;&gt;"",INT(G11-VLOOKUP(H11,テーブル!$S$8:$W$106,4,0)*AO11*G11/1000000),"")</f>
      </c>
      <c r="AQ11" s="248">
        <f t="shared" si="9"/>
      </c>
      <c r="AR11" s="248">
        <f t="shared" si="10"/>
      </c>
      <c r="AS11" s="248">
        <f>IF(AR11&lt;0,"",IF(AR11&lt;&gt;"",VLOOKUP(H11,テーブル!$Q$8:$W$106,2,0),""))</f>
      </c>
      <c r="AT11" s="248">
        <f>IF(AS11&lt;&gt;"",G11-VLOOKUP(AS11,テーブル!$S$8:$W$106,4,0)*AR11*G11/1000000,G11)</f>
        <v>723600</v>
      </c>
      <c r="AU11" s="268" t="e">
        <f>IF(AS11&lt;&gt;"",AT11-VLOOKUP(H11,テーブル!$S$8:$W$106,4,0)*(AO11-AR11)*G11/1000000,AT11-VLOOKUP(H11,テーブル!$S$8:$W$106,4,0)*(AO11)*G11/1000000)</f>
        <v>#N/A</v>
      </c>
      <c r="AV11" s="284">
        <f t="shared" si="61"/>
        <v>0</v>
      </c>
      <c r="AW11" s="249">
        <f t="shared" si="11"/>
        <v>43525</v>
      </c>
      <c r="AX11" s="248">
        <f aca="true" t="shared" si="63" ref="AX11:AX37">IF(AV11&lt;&gt;0,IF(AV11=INT(G11*0.05),"均等償却",IF((AV11-AY11)&lt;INT(G11*0.05),"通常最終","通常償却")),"")</f>
      </c>
      <c r="AY11" s="248">
        <f>IF(AV11&lt;&gt;0,IF(AV11&gt;INT(G11*0.05),(VLOOKUP(H11,テーブル!$S$2:T104,2,0)*G11*0.9),IF(AV11=INT(G11*0.05),INT((AV11-1)/5),0)),"")</f>
      </c>
      <c r="AZ11" s="248">
        <f t="shared" si="12"/>
      </c>
      <c r="BA11" s="248">
        <f t="shared" si="13"/>
      </c>
      <c r="BB11" s="248">
        <f t="shared" si="14"/>
      </c>
      <c r="BC11" s="248">
        <f t="shared" si="15"/>
      </c>
      <c r="BD11" s="261">
        <f t="shared" si="0"/>
      </c>
      <c r="BE11" s="248">
        <f t="shared" si="16"/>
      </c>
      <c r="BF11" s="248">
        <f t="shared" si="17"/>
      </c>
      <c r="BG11" s="248">
        <f t="shared" si="18"/>
      </c>
      <c r="BH11" s="248">
        <f t="shared" si="19"/>
      </c>
      <c r="BI11" s="248">
        <f t="shared" si="38"/>
      </c>
      <c r="BJ11" s="248">
        <f t="shared" si="20"/>
      </c>
      <c r="BK11" s="263">
        <f t="shared" si="1"/>
      </c>
      <c r="BL11" s="251">
        <f t="shared" si="39"/>
      </c>
      <c r="BM11" s="248">
        <f t="shared" si="21"/>
        <v>201903</v>
      </c>
      <c r="BN11" s="379">
        <f t="shared" si="22"/>
        <v>-122</v>
      </c>
      <c r="BO11" s="380">
        <f t="shared" si="23"/>
        <v>0</v>
      </c>
      <c r="BP11" s="248">
        <f t="shared" si="57"/>
        <v>723600</v>
      </c>
      <c r="BQ11" s="248">
        <f t="shared" si="24"/>
        <v>8622.9</v>
      </c>
      <c r="BR11" s="248">
        <f t="shared" si="62"/>
        <v>10</v>
      </c>
      <c r="BS11" s="392">
        <f t="shared" si="40"/>
        <v>723600</v>
      </c>
      <c r="BT11" s="392" t="str">
        <f t="shared" si="41"/>
        <v>初回</v>
      </c>
      <c r="BU11" s="338">
        <f t="shared" si="25"/>
        <v>86229</v>
      </c>
      <c r="BV11" s="251">
        <f t="shared" si="26"/>
        <v>637371</v>
      </c>
      <c r="BW11" s="339">
        <f t="shared" si="27"/>
        <v>86229</v>
      </c>
      <c r="BX11" s="338">
        <f>IF(AN11&lt;&gt;"新定額",BL11,BV11)</f>
        <v>637371</v>
      </c>
      <c r="BY11" s="338">
        <f t="shared" si="42"/>
        <v>86229</v>
      </c>
      <c r="BZ11" s="341">
        <f t="shared" si="43"/>
        <v>86229</v>
      </c>
      <c r="CA11" s="346">
        <f t="shared" si="44"/>
        <v>637371</v>
      </c>
      <c r="CB11" s="251">
        <f t="shared" si="45"/>
        <v>637371</v>
      </c>
      <c r="CC11" s="248"/>
      <c r="CD11" s="233"/>
      <c r="CE11" s="233"/>
      <c r="CF11" s="233"/>
      <c r="CG11" s="233"/>
      <c r="CH11" s="233"/>
      <c r="CI11" s="233"/>
      <c r="CJ11" s="233"/>
      <c r="CK11" s="233"/>
      <c r="CL11" s="233"/>
      <c r="CM11" s="233"/>
      <c r="CN11" s="120"/>
      <c r="CO11" s="70">
        <v>5</v>
      </c>
      <c r="CP11" s="74" t="str">
        <f t="shared" si="46"/>
        <v>畦塗機</v>
      </c>
      <c r="CQ11" s="82">
        <f t="shared" si="47"/>
      </c>
      <c r="CR11" s="83" t="str">
        <f t="shared" si="48"/>
        <v>H31</v>
      </c>
      <c r="CS11" s="83">
        <f t="shared" si="49"/>
        <v>3</v>
      </c>
      <c r="CT11" s="86">
        <f t="shared" si="50"/>
      </c>
      <c r="CU11" s="85">
        <f t="shared" si="51"/>
        <v>723600</v>
      </c>
      <c r="CV11" s="85">
        <f t="shared" si="29"/>
        <v>723600</v>
      </c>
      <c r="CW11" s="229" t="str">
        <f t="shared" si="52"/>
        <v>新定額</v>
      </c>
      <c r="CX11" s="302">
        <f t="shared" si="58"/>
        <v>7</v>
      </c>
      <c r="CY11" s="340">
        <f t="shared" si="30"/>
        <v>0.143</v>
      </c>
      <c r="CZ11" s="79">
        <f t="shared" si="53"/>
        <v>12</v>
      </c>
      <c r="DA11" s="80" t="str">
        <f t="shared" si="54"/>
        <v>/12</v>
      </c>
      <c r="DB11" s="343">
        <f t="shared" si="59"/>
        <v>86229</v>
      </c>
      <c r="DC11" s="87" t="str">
        <f t="shared" si="31"/>
        <v>100%</v>
      </c>
      <c r="DD11" s="85">
        <f aca="true" t="shared" si="64" ref="DD11:DD37">IF(ISERROR(BZ11),"",IF(BZ11&lt;&gt;"",ROUND(BZ11,0),""))</f>
        <v>86229</v>
      </c>
      <c r="DE11" s="343">
        <f t="shared" si="60"/>
        <v>637371</v>
      </c>
      <c r="DF11" s="306">
        <f t="shared" si="32"/>
      </c>
      <c r="DG11" s="387"/>
      <c r="DH11" s="388"/>
      <c r="DI11" s="383"/>
      <c r="DJ11" s="383"/>
      <c r="DO11" s="120">
        <v>11</v>
      </c>
      <c r="DP11" s="120" t="s">
        <v>109</v>
      </c>
      <c r="DQ11" s="120">
        <v>11</v>
      </c>
      <c r="DR11" s="120">
        <v>1936</v>
      </c>
    </row>
    <row r="12" spans="1:122" ht="15" customHeight="1">
      <c r="A12" s="290">
        <v>6</v>
      </c>
      <c r="B12" s="211" t="s">
        <v>625</v>
      </c>
      <c r="C12" s="212"/>
      <c r="D12" s="213"/>
      <c r="E12" s="214" t="s">
        <v>395</v>
      </c>
      <c r="F12" s="214">
        <v>5</v>
      </c>
      <c r="G12" s="215">
        <v>1200000</v>
      </c>
      <c r="H12" s="216">
        <v>5</v>
      </c>
      <c r="I12" s="216">
        <v>7</v>
      </c>
      <c r="J12" s="217"/>
      <c r="K12" s="218"/>
      <c r="L12" s="218">
        <f t="shared" si="33"/>
      </c>
      <c r="M12" s="191">
        <f t="shared" si="2"/>
      </c>
      <c r="N12" s="194">
        <f t="shared" si="55"/>
        <v>0</v>
      </c>
      <c r="O12" s="291">
        <f t="shared" si="56"/>
        <v>1</v>
      </c>
      <c r="P12" s="286">
        <f>IF(ISERROR(IF(AND(C12="◎",YEAR(AW12)&lt;1999),VLOOKUP(AS12,テーブル!$S$8:$W$106,2,0),"")),"",IF(AND(C12="◎",YEAR(AW12)&lt;1999),VLOOKUP(AS12,テーブル!$S$8:$W$106,2,0),""))</f>
      </c>
      <c r="Q12" s="276">
        <f t="shared" si="34"/>
        <v>0.2</v>
      </c>
      <c r="R12" s="278">
        <f t="shared" si="35"/>
        <v>0</v>
      </c>
      <c r="S12" s="274">
        <f t="shared" si="3"/>
        <v>0</v>
      </c>
      <c r="T12" s="276">
        <f>IF(AN12="旧定額",VLOOKUP(H12,[0]!旧償却率,2,0),IF(ISERROR(VLOOKUP(H12,[0]!新償却率,2,0)),"",IF(U12=0,"",VLOOKUP(H12,[0]!新償却率,2,0))))</f>
        <v>0.2</v>
      </c>
      <c r="U12" s="274">
        <f t="shared" si="36"/>
        <v>68</v>
      </c>
      <c r="V12" s="274">
        <f t="shared" si="4"/>
        <v>1224000</v>
      </c>
      <c r="W12" s="274">
        <f t="shared" si="5"/>
        <v>1140000</v>
      </c>
      <c r="X12" s="378">
        <f>IF(AN12="旧定額",T12,VLOOKUP(H12,テーブル!$C$8:$D$106,2,0))</f>
        <v>0.2</v>
      </c>
      <c r="Y12" s="274">
        <f t="shared" si="6"/>
        <v>216000</v>
      </c>
      <c r="Z12" s="274"/>
      <c r="AA12" s="276">
        <f>IF(ISERROR(VLOOKUP(I12,テーブル!$S$8:$W$106,2,0)),"",IF(AN12="旧定額",VLOOKUP(I12,テーブル!$S$8:$W$106,2,0),VLOOKUP(I12,テーブル!$C$8:$D$106,2,0)))</f>
        <v>0.142</v>
      </c>
      <c r="AB12" s="236" t="str">
        <f t="shared" si="37"/>
        <v>終了　5年</v>
      </c>
      <c r="AC12" s="232"/>
      <c r="AD12" s="232"/>
      <c r="AE12" s="232"/>
      <c r="AF12" s="232"/>
      <c r="AG12" s="232"/>
      <c r="AH12" s="232"/>
      <c r="AI12" s="270"/>
      <c r="AJ12" s="270"/>
      <c r="AK12" s="270"/>
      <c r="AL12" s="270"/>
      <c r="AM12" s="233"/>
      <c r="AN12" s="248" t="str">
        <f t="shared" si="7"/>
        <v>旧定額</v>
      </c>
      <c r="AO12" s="248">
        <f t="shared" si="8"/>
        <v>68</v>
      </c>
      <c r="AP12" s="248">
        <f>IF(AO12&lt;&gt;"",INT(G12-VLOOKUP(H12,テーブル!$S$8:$W$106,4,0)*AO12*G12/1000000),"")</f>
        <v>-24000</v>
      </c>
      <c r="AQ12" s="248">
        <f t="shared" si="9"/>
        <v>60000</v>
      </c>
      <c r="AR12" s="248">
        <f t="shared" si="10"/>
      </c>
      <c r="AS12" s="248">
        <f>IF(AR12&lt;0,"",IF(AR12&lt;&gt;"",VLOOKUP(H12,テーブル!$Q$8:$W$106,2,0),""))</f>
      </c>
      <c r="AT12" s="248">
        <f>IF(AS12&lt;&gt;"",G12-VLOOKUP(AS12,テーブル!$S$8:$W$106,4,0)*AR12*G12/1000000,G12)</f>
        <v>1200000</v>
      </c>
      <c r="AU12" s="268">
        <f>IF(AS12&lt;&gt;"",AT12-VLOOKUP(H12,テーブル!$S$8:$W$106,4,0)*(AO12-AR12)*G12/1000000,AT12-VLOOKUP(H12,テーブル!$S$8:$W$106,4,0)*(AO12)*G12/1000000)</f>
        <v>-24000</v>
      </c>
      <c r="AV12" s="284">
        <f t="shared" si="61"/>
        <v>60000</v>
      </c>
      <c r="AW12" s="249">
        <f t="shared" si="11"/>
        <v>37377</v>
      </c>
      <c r="AX12" s="248" t="str">
        <f t="shared" si="63"/>
        <v>均等償却</v>
      </c>
      <c r="AY12" s="248">
        <f>IF(AV12&lt;&gt;0,IF(AV12&gt;INT(G12*0.05),(VLOOKUP(H12,テーブル!$S$2:T105,2,0)*G12*0.9),IF(AV12=INT(G12*0.05),INT((AV12-1)/5),0)),"")</f>
        <v>11999</v>
      </c>
      <c r="AZ12" s="248">
        <f t="shared" si="12"/>
        <v>11999</v>
      </c>
      <c r="BA12" s="248">
        <f t="shared" si="13"/>
        <v>48001</v>
      </c>
      <c r="BB12" s="248">
        <f t="shared" si="14"/>
        <v>132</v>
      </c>
      <c r="BC12" s="248">
        <f t="shared" si="15"/>
        <v>-0.9323232323232323</v>
      </c>
      <c r="BD12" s="261">
        <f t="shared" si="0"/>
        <v>153360</v>
      </c>
      <c r="BE12" s="248">
        <f t="shared" si="16"/>
        <v>2007</v>
      </c>
      <c r="BF12" s="248">
        <f t="shared" si="17"/>
        <v>354721</v>
      </c>
      <c r="BG12" s="248">
        <f t="shared" si="18"/>
        <v>294721</v>
      </c>
      <c r="BH12" s="248">
        <f t="shared" si="19"/>
        <v>2008</v>
      </c>
      <c r="BI12" s="248">
        <f t="shared" si="38"/>
        <v>2012</v>
      </c>
      <c r="BJ12" s="248" t="str">
        <f t="shared" si="20"/>
        <v>終了</v>
      </c>
      <c r="BK12" s="263">
        <f t="shared" si="1"/>
        <v>0</v>
      </c>
      <c r="BL12" s="251">
        <f t="shared" si="39"/>
        <v>1</v>
      </c>
      <c r="BM12" s="248">
        <f t="shared" si="21"/>
        <v>200205</v>
      </c>
      <c r="BN12" s="379">
        <f t="shared" si="22"/>
        <v>0</v>
      </c>
      <c r="BO12" s="380">
        <f t="shared" si="23"/>
        <v>0</v>
      </c>
      <c r="BP12" s="248">
        <f t="shared" si="57"/>
        <v>1200000</v>
      </c>
      <c r="BQ12" s="248">
        <f t="shared" si="24"/>
        <v>14300</v>
      </c>
      <c r="BR12" s="248">
        <f t="shared" si="62"/>
        <v>212</v>
      </c>
      <c r="BS12" s="392">
        <f t="shared" si="40"/>
        <v>-1660000</v>
      </c>
      <c r="BT12" s="392" t="str">
        <f t="shared" si="41"/>
        <v>終了</v>
      </c>
      <c r="BU12" s="338">
        <f t="shared" si="25"/>
        <v>0</v>
      </c>
      <c r="BV12" s="251">
        <f t="shared" si="26"/>
        <v>1</v>
      </c>
      <c r="BW12" s="339">
        <f t="shared" si="27"/>
        <v>0</v>
      </c>
      <c r="BX12" s="338">
        <f t="shared" si="28"/>
        <v>1</v>
      </c>
      <c r="BY12" s="338">
        <f t="shared" si="42"/>
        <v>0</v>
      </c>
      <c r="BZ12" s="341">
        <f t="shared" si="43"/>
        <v>0</v>
      </c>
      <c r="CA12" s="346">
        <f t="shared" si="44"/>
        <v>1</v>
      </c>
      <c r="CB12" s="251">
        <f t="shared" si="45"/>
        <v>1</v>
      </c>
      <c r="CC12" s="248"/>
      <c r="CD12" s="233"/>
      <c r="CE12" s="233"/>
      <c r="CF12" s="233"/>
      <c r="CG12" s="233"/>
      <c r="CH12" s="233"/>
      <c r="CI12" s="233"/>
      <c r="CJ12" s="233"/>
      <c r="CK12" s="233"/>
      <c r="CL12" s="233"/>
      <c r="CM12" s="233"/>
      <c r="CN12" s="120"/>
      <c r="CO12" s="73">
        <v>6</v>
      </c>
      <c r="CP12" s="74" t="str">
        <f t="shared" si="46"/>
        <v>まめこぎ機械</v>
      </c>
      <c r="CQ12" s="82">
        <f t="shared" si="47"/>
      </c>
      <c r="CR12" s="83" t="str">
        <f t="shared" si="48"/>
        <v>H14</v>
      </c>
      <c r="CS12" s="83">
        <f t="shared" si="49"/>
        <v>5</v>
      </c>
      <c r="CT12" s="86">
        <f t="shared" si="50"/>
      </c>
      <c r="CU12" s="85">
        <f t="shared" si="51"/>
        <v>1200000</v>
      </c>
      <c r="CV12" s="85">
        <f t="shared" si="29"/>
        <v>1080000</v>
      </c>
      <c r="CW12" s="229" t="str">
        <f>AN12</f>
        <v>旧定額</v>
      </c>
      <c r="CX12" s="302">
        <f t="shared" si="58"/>
        <v>7</v>
      </c>
      <c r="CY12" s="340">
        <f t="shared" si="30"/>
        <v>0.142</v>
      </c>
      <c r="CZ12" s="79">
        <f t="shared" si="53"/>
        <v>12</v>
      </c>
      <c r="DA12" s="80" t="str">
        <f t="shared" si="54"/>
        <v>/12</v>
      </c>
      <c r="DB12" s="343">
        <f t="shared" si="59"/>
        <v>0</v>
      </c>
      <c r="DC12" s="87" t="str">
        <f t="shared" si="31"/>
        <v>100%</v>
      </c>
      <c r="DD12" s="85">
        <f t="shared" si="64"/>
        <v>0</v>
      </c>
      <c r="DE12" s="343">
        <f t="shared" si="60"/>
        <v>1</v>
      </c>
      <c r="DF12" s="306" t="str">
        <f t="shared" si="32"/>
        <v>終了　5年</v>
      </c>
      <c r="DG12" s="387"/>
      <c r="DH12" s="388"/>
      <c r="DI12" s="383"/>
      <c r="DJ12" s="383"/>
      <c r="DO12" s="120">
        <v>12</v>
      </c>
      <c r="DP12" s="120" t="s">
        <v>110</v>
      </c>
      <c r="DQ12" s="120">
        <v>12</v>
      </c>
      <c r="DR12" s="120">
        <v>1937</v>
      </c>
    </row>
    <row r="13" spans="1:122" ht="15" customHeight="1">
      <c r="A13" s="292">
        <v>7</v>
      </c>
      <c r="B13" s="211" t="s">
        <v>626</v>
      </c>
      <c r="C13" s="212"/>
      <c r="D13" s="213"/>
      <c r="E13" s="214" t="s">
        <v>399</v>
      </c>
      <c r="F13" s="214">
        <v>5</v>
      </c>
      <c r="G13" s="215">
        <v>2200000</v>
      </c>
      <c r="H13" s="216">
        <v>5</v>
      </c>
      <c r="I13" s="216">
        <v>7</v>
      </c>
      <c r="J13" s="217"/>
      <c r="K13" s="218"/>
      <c r="L13" s="218">
        <f t="shared" si="33"/>
      </c>
      <c r="M13" s="191">
        <f t="shared" si="2"/>
      </c>
      <c r="N13" s="194">
        <f t="shared" si="55"/>
        <v>0</v>
      </c>
      <c r="O13" s="291">
        <f t="shared" si="56"/>
        <v>1</v>
      </c>
      <c r="P13" s="286">
        <f>IF(ISERROR(IF(AND(C13="◎",YEAR(AW13)&lt;1999),VLOOKUP(AS13,テーブル!$S$8:$W$106,2,0),"")),"",IF(AND(C13="◎",YEAR(AW13)&lt;1999),VLOOKUP(AS13,テーブル!$S$8:$W$106,2,0),""))</f>
      </c>
      <c r="Q13" s="276">
        <f t="shared" si="34"/>
        <v>0.2</v>
      </c>
      <c r="R13" s="278">
        <f t="shared" si="35"/>
        <v>0</v>
      </c>
      <c r="S13" s="274">
        <f t="shared" si="3"/>
        <v>0</v>
      </c>
      <c r="T13" s="276">
        <f>IF(AN13="旧定額",VLOOKUP(H13,[0]!旧償却率,2,0),IF(ISERROR(VLOOKUP(H13,[0]!新償却率,2,0)),"",IF(U13=0,"",VLOOKUP(H13,[0]!新償却率,2,0))))</f>
        <v>0.2</v>
      </c>
      <c r="U13" s="274">
        <f t="shared" si="36"/>
        <v>20</v>
      </c>
      <c r="V13" s="274">
        <f t="shared" si="4"/>
        <v>660000</v>
      </c>
      <c r="W13" s="274">
        <f t="shared" si="5"/>
        <v>660000</v>
      </c>
      <c r="X13" s="378">
        <f>IF(AN13="旧定額",T13,VLOOKUP(H13,テーブル!$C$8:$D$106,2,0))</f>
        <v>0.2</v>
      </c>
      <c r="Y13" s="274">
        <f t="shared" si="6"/>
        <v>396000</v>
      </c>
      <c r="Z13" s="274"/>
      <c r="AA13" s="276">
        <f>IF(ISERROR(VLOOKUP(I13,テーブル!$S$8:$W$106,2,0)),"",IF(AN13="旧定額",VLOOKUP(I13,テーブル!$S$8:$W$106,2,0),VLOOKUP(I13,テーブル!$C$8:$D$106,2,0)))</f>
        <v>0.142</v>
      </c>
      <c r="AB13" s="236" t="str">
        <f t="shared" si="37"/>
        <v>終了　5年</v>
      </c>
      <c r="AC13" s="232"/>
      <c r="AD13" s="232"/>
      <c r="AE13" s="232"/>
      <c r="AF13" s="232"/>
      <c r="AG13" s="232"/>
      <c r="AH13" s="232"/>
      <c r="AI13" s="270"/>
      <c r="AJ13" s="270"/>
      <c r="AK13" s="270"/>
      <c r="AL13" s="270"/>
      <c r="AM13" s="233"/>
      <c r="AN13" s="248" t="str">
        <f t="shared" si="7"/>
        <v>旧定額</v>
      </c>
      <c r="AO13" s="248">
        <f t="shared" si="8"/>
        <v>20</v>
      </c>
      <c r="AP13" s="248">
        <f>IF(AO13&lt;&gt;"",INT(G13-VLOOKUP(H13,テーブル!$S$8:$W$106,4,0)*AO13*G13/1000000),"")</f>
        <v>1540000</v>
      </c>
      <c r="AQ13" s="248">
        <f t="shared" si="9"/>
        <v>1540000</v>
      </c>
      <c r="AR13" s="248">
        <f t="shared" si="10"/>
      </c>
      <c r="AS13" s="248">
        <f>IF(AR13&lt;0,"",IF(AR13&lt;&gt;"",VLOOKUP(H13,テーブル!$Q$8:$W$106,2,0),""))</f>
      </c>
      <c r="AT13" s="248">
        <f>IF(AS13&lt;&gt;"",G13-VLOOKUP(AS13,テーブル!$S$8:$W$106,4,0)*AR13*G13/1000000,G13)</f>
        <v>2200000</v>
      </c>
      <c r="AU13" s="268">
        <f>IF(AS13&lt;&gt;"",AT13-VLOOKUP(H13,テーブル!$S$8:$W$106,4,0)*(AO13-AR13)*G13/1000000,AT13-VLOOKUP(H13,テーブル!$S$8:$W$106,4,0)*(AO13)*G13/1000000)</f>
        <v>1540000</v>
      </c>
      <c r="AV13" s="284">
        <f t="shared" si="61"/>
        <v>1540000</v>
      </c>
      <c r="AW13" s="249">
        <f t="shared" si="11"/>
        <v>38838</v>
      </c>
      <c r="AX13" s="248" t="str">
        <f t="shared" si="63"/>
        <v>通常償却</v>
      </c>
      <c r="AY13" s="248">
        <f>IF(AV13&lt;&gt;0,IF(AV13&gt;INT(G13*0.05),(VLOOKUP(H13,テーブル!$S$2:T106,2,0)*G13*0.9),IF(AV13=INT(G13*0.05),INT((AV13-1)/5),0)),"")</f>
        <v>396000</v>
      </c>
      <c r="AZ13" s="248">
        <f t="shared" si="12"/>
        <v>396000</v>
      </c>
      <c r="BA13" s="248">
        <f t="shared" si="13"/>
        <v>1144000</v>
      </c>
      <c r="BB13" s="248">
        <f t="shared" si="14"/>
        <v>132</v>
      </c>
      <c r="BC13" s="248">
        <f t="shared" si="15"/>
        <v>43.82284382284382</v>
      </c>
      <c r="BD13" s="261">
        <f t="shared" si="0"/>
        <v>281160</v>
      </c>
      <c r="BE13" s="248">
        <f t="shared" si="16"/>
        <v>2012</v>
      </c>
      <c r="BF13" s="248">
        <f t="shared" si="17"/>
        <v>300520</v>
      </c>
      <c r="BG13" s="248">
        <f t="shared" si="18"/>
        <v>190520</v>
      </c>
      <c r="BH13" s="248">
        <f t="shared" si="19"/>
        <v>2013</v>
      </c>
      <c r="BI13" s="248">
        <f t="shared" si="38"/>
        <v>2017</v>
      </c>
      <c r="BJ13" s="248" t="str">
        <f t="shared" si="20"/>
        <v>終了</v>
      </c>
      <c r="BK13" s="263">
        <f t="shared" si="1"/>
        <v>0</v>
      </c>
      <c r="BL13" s="251">
        <f t="shared" si="39"/>
        <v>1</v>
      </c>
      <c r="BM13" s="248">
        <f t="shared" si="21"/>
        <v>200605</v>
      </c>
      <c r="BN13" s="379">
        <f t="shared" si="22"/>
        <v>0</v>
      </c>
      <c r="BO13" s="380">
        <f t="shared" si="23"/>
        <v>0</v>
      </c>
      <c r="BP13" s="248">
        <f t="shared" si="57"/>
        <v>2200000</v>
      </c>
      <c r="BQ13" s="248">
        <f t="shared" si="24"/>
        <v>26216.666666666664</v>
      </c>
      <c r="BR13" s="248">
        <f t="shared" si="62"/>
        <v>164</v>
      </c>
      <c r="BS13" s="392">
        <f t="shared" si="40"/>
        <v>-1784933.333333333</v>
      </c>
      <c r="BT13" s="392" t="str">
        <f t="shared" si="41"/>
        <v>終了</v>
      </c>
      <c r="BU13" s="338">
        <f t="shared" si="25"/>
        <v>0</v>
      </c>
      <c r="BV13" s="251">
        <f t="shared" si="26"/>
        <v>1</v>
      </c>
      <c r="BW13" s="339">
        <f t="shared" si="27"/>
        <v>0</v>
      </c>
      <c r="BX13" s="338">
        <f t="shared" si="28"/>
        <v>1</v>
      </c>
      <c r="BY13" s="338">
        <f t="shared" si="42"/>
        <v>0</v>
      </c>
      <c r="BZ13" s="341">
        <f t="shared" si="43"/>
        <v>0</v>
      </c>
      <c r="CA13" s="346">
        <f t="shared" si="44"/>
        <v>1</v>
      </c>
      <c r="CB13" s="251">
        <f t="shared" si="45"/>
        <v>1</v>
      </c>
      <c r="CC13" s="248"/>
      <c r="CD13" s="233"/>
      <c r="CE13" s="233"/>
      <c r="CF13" s="233"/>
      <c r="CG13" s="233"/>
      <c r="CH13" s="233"/>
      <c r="CI13" s="233"/>
      <c r="CJ13" s="233"/>
      <c r="CK13" s="233"/>
      <c r="CL13" s="233"/>
      <c r="CM13" s="233"/>
      <c r="CN13" s="120"/>
      <c r="CO13" s="70">
        <v>7</v>
      </c>
      <c r="CP13" s="74" t="str">
        <f t="shared" si="46"/>
        <v>田植機</v>
      </c>
      <c r="CQ13" s="82">
        <f t="shared" si="47"/>
      </c>
      <c r="CR13" s="83" t="str">
        <f t="shared" si="48"/>
        <v>H18</v>
      </c>
      <c r="CS13" s="83">
        <f t="shared" si="49"/>
        <v>5</v>
      </c>
      <c r="CT13" s="86">
        <f t="shared" si="50"/>
      </c>
      <c r="CU13" s="85">
        <f t="shared" si="51"/>
        <v>2200000</v>
      </c>
      <c r="CV13" s="85">
        <f t="shared" si="29"/>
        <v>1980000</v>
      </c>
      <c r="CW13" s="229" t="str">
        <f t="shared" si="52"/>
        <v>旧定額</v>
      </c>
      <c r="CX13" s="302">
        <f t="shared" si="58"/>
        <v>7</v>
      </c>
      <c r="CY13" s="340">
        <f t="shared" si="30"/>
        <v>0.142</v>
      </c>
      <c r="CZ13" s="79">
        <f t="shared" si="53"/>
        <v>12</v>
      </c>
      <c r="DA13" s="80" t="str">
        <f t="shared" si="54"/>
        <v>/12</v>
      </c>
      <c r="DB13" s="343">
        <f t="shared" si="59"/>
        <v>0</v>
      </c>
      <c r="DC13" s="87" t="str">
        <f t="shared" si="31"/>
        <v>100%</v>
      </c>
      <c r="DD13" s="85">
        <f t="shared" si="64"/>
        <v>0</v>
      </c>
      <c r="DE13" s="343">
        <f t="shared" si="60"/>
        <v>1</v>
      </c>
      <c r="DF13" s="306" t="str">
        <f t="shared" si="32"/>
        <v>終了　5年</v>
      </c>
      <c r="DG13" s="387"/>
      <c r="DH13" s="388"/>
      <c r="DI13" s="383"/>
      <c r="DJ13" s="383"/>
      <c r="DO13" s="120">
        <v>13</v>
      </c>
      <c r="DP13" s="120" t="s">
        <v>111</v>
      </c>
      <c r="DR13" s="120">
        <v>1938</v>
      </c>
    </row>
    <row r="14" spans="1:122" ht="15" customHeight="1">
      <c r="A14" s="290">
        <v>8</v>
      </c>
      <c r="B14" s="211" t="s">
        <v>627</v>
      </c>
      <c r="C14" s="212"/>
      <c r="D14" s="213"/>
      <c r="E14" s="214" t="s">
        <v>394</v>
      </c>
      <c r="F14" s="214">
        <v>3</v>
      </c>
      <c r="G14" s="215">
        <v>525000</v>
      </c>
      <c r="H14" s="216">
        <v>5</v>
      </c>
      <c r="I14" s="216">
        <v>7</v>
      </c>
      <c r="J14" s="217"/>
      <c r="K14" s="218"/>
      <c r="L14" s="218">
        <f t="shared" si="33"/>
      </c>
      <c r="M14" s="191">
        <f t="shared" si="2"/>
      </c>
      <c r="N14" s="194">
        <f t="shared" si="55"/>
        <v>0</v>
      </c>
      <c r="O14" s="291">
        <f t="shared" si="56"/>
        <v>1</v>
      </c>
      <c r="P14" s="286">
        <f>IF(ISERROR(IF(AND(C14="◎",YEAR(AW14)&lt;1999),VLOOKUP(AS14,テーブル!$S$8:$W$106,2,0),"")),"",IF(AND(C14="◎",YEAR(AW14)&lt;1999),VLOOKUP(AS14,テーブル!$S$8:$W$106,2,0),""))</f>
      </c>
      <c r="Q14" s="276">
        <f t="shared" si="34"/>
        <v>0.2</v>
      </c>
      <c r="R14" s="278">
        <f t="shared" si="35"/>
        <v>0</v>
      </c>
      <c r="S14" s="274">
        <f t="shared" si="3"/>
        <v>0</v>
      </c>
      <c r="T14" s="276">
        <f>IF(AN14="旧定額",VLOOKUP(H14,[0]!旧償却率,2,0),IF(ISERROR(VLOOKUP(H14,[0]!新償却率,2,0)),"",IF(U14=0,"",VLOOKUP(H14,[0]!新償却率,2,0))))</f>
        <v>0.2</v>
      </c>
      <c r="U14" s="274">
        <f t="shared" si="36"/>
        <v>82</v>
      </c>
      <c r="V14" s="274">
        <f t="shared" si="4"/>
        <v>645750</v>
      </c>
      <c r="W14" s="274">
        <f t="shared" si="5"/>
        <v>498750</v>
      </c>
      <c r="X14" s="378">
        <f>IF(AN14="旧定額",T14,VLOOKUP(H14,テーブル!$C$8:$D$106,2,0))</f>
        <v>0.2</v>
      </c>
      <c r="Y14" s="274">
        <f t="shared" si="6"/>
        <v>94500</v>
      </c>
      <c r="Z14" s="274"/>
      <c r="AA14" s="276">
        <f>IF(ISERROR(VLOOKUP(I14,テーブル!$S$8:$W$106,2,0)),"",IF(AN14="旧定額",VLOOKUP(I14,テーブル!$S$8:$W$106,2,0),VLOOKUP(I14,テーブル!$C$8:$D$106,2,0)))</f>
        <v>0.142</v>
      </c>
      <c r="AB14" s="236" t="str">
        <f t="shared" si="37"/>
        <v>終了　5年</v>
      </c>
      <c r="AC14" s="232"/>
      <c r="AD14" s="232"/>
      <c r="AE14" s="232"/>
      <c r="AF14" s="232"/>
      <c r="AG14" s="232"/>
      <c r="AH14" s="232"/>
      <c r="AI14" s="270"/>
      <c r="AJ14" s="270"/>
      <c r="AK14" s="270"/>
      <c r="AL14" s="270"/>
      <c r="AM14" s="233"/>
      <c r="AN14" s="248" t="str">
        <f t="shared" si="7"/>
        <v>旧定額</v>
      </c>
      <c r="AO14" s="248">
        <f t="shared" si="8"/>
        <v>82</v>
      </c>
      <c r="AP14" s="248">
        <f>IF(AO14&lt;&gt;"",INT(G14-VLOOKUP(H14,テーブル!$S$8:$W$106,4,0)*AO14*G14/1000000),"")</f>
        <v>-120750</v>
      </c>
      <c r="AQ14" s="248">
        <f t="shared" si="9"/>
        <v>26250</v>
      </c>
      <c r="AR14" s="248">
        <f t="shared" si="10"/>
      </c>
      <c r="AS14" s="248">
        <f>IF(AR14&lt;0,"",IF(AR14&lt;&gt;"",VLOOKUP(H14,テーブル!$Q$8:$W$106,2,0),""))</f>
      </c>
      <c r="AT14" s="248">
        <f>IF(AS14&lt;&gt;"",G14-VLOOKUP(AS14,テーブル!$S$8:$W$106,4,0)*AR14*G14/1000000,G14)</f>
        <v>525000</v>
      </c>
      <c r="AU14" s="268">
        <f>IF(AS14&lt;&gt;"",AT14-VLOOKUP(H14,テーブル!$S$8:$W$106,4,0)*(AO14-AR14)*G14/1000000,AT14-VLOOKUP(H14,テーブル!$S$8:$W$106,4,0)*(AO14)*G14/1000000)</f>
        <v>-120750</v>
      </c>
      <c r="AV14" s="284">
        <f t="shared" si="61"/>
        <v>26250</v>
      </c>
      <c r="AW14" s="249">
        <f t="shared" si="11"/>
        <v>36951</v>
      </c>
      <c r="AX14" s="248" t="str">
        <f t="shared" si="63"/>
        <v>均等償却</v>
      </c>
      <c r="AY14" s="248">
        <f>IF(AV14&lt;&gt;0,IF(AV14&gt;INT(G14*0.05),(VLOOKUP(H14,テーブル!$S$2:T107,2,0)*G14*0.9),IF(AV14=INT(G14*0.05),INT((AV14-1)/5),0)),"")</f>
        <v>5249</v>
      </c>
      <c r="AZ14" s="248">
        <f t="shared" si="12"/>
        <v>5249</v>
      </c>
      <c r="BA14" s="248">
        <f aca="true" t="shared" si="65" ref="BA14:BA37">IF(AZ14&lt;&gt;"",AV14-AZ14,"")</f>
        <v>21001</v>
      </c>
      <c r="BB14" s="248">
        <f aca="true" t="shared" si="66" ref="BB14:BB37">IF(BA14&lt;&gt;"",IF(K14&lt;&gt;"",K14+($BE$3-1)*12,$BE$3*12),"")</f>
        <v>132</v>
      </c>
      <c r="BC14" s="248">
        <f t="shared" si="15"/>
        <v>-0.9323268206039076</v>
      </c>
      <c r="BD14" s="261">
        <f t="shared" si="0"/>
        <v>67095</v>
      </c>
      <c r="BE14" s="248">
        <f aca="true" t="shared" si="67" ref="BE14:BE37">IF(BC14&lt;&gt;"",IF(BC14&gt;0,2008+ROUNDUP(BC14/12,0),IF(AX14="均等償却",2008-1,IF(AX14="通常最終",2008))),"")</f>
        <v>2007</v>
      </c>
      <c r="BF14" s="248">
        <f aca="true" t="shared" si="68" ref="BF14:BF37">IF(BE14&lt;&gt;"",BA14-BD14*(BE14-2009),"")</f>
        <v>155191</v>
      </c>
      <c r="BG14" s="248">
        <f t="shared" si="18"/>
        <v>128941</v>
      </c>
      <c r="BH14" s="248">
        <f aca="true" t="shared" si="69" ref="BH14:BH37">IF(AX14&lt;&gt;"",BE14+1,"")</f>
        <v>2008</v>
      </c>
      <c r="BI14" s="248">
        <f t="shared" si="38"/>
        <v>2012</v>
      </c>
      <c r="BJ14" s="248" t="str">
        <f aca="true" t="shared" si="70" ref="BJ14:BJ37">IF(BE14&lt;&gt;"",IF($BC$3&lt;BE14,"通常償却",IF($BC$3=BE14,"通常最終",IF($BC$3&lt;BI14,"均等償却",IF($BC$3=BI14,"均等最終","終了")))),"")</f>
        <v>終了</v>
      </c>
      <c r="BK14" s="263">
        <f t="shared" si="1"/>
        <v>0</v>
      </c>
      <c r="BL14" s="251">
        <f t="shared" si="39"/>
        <v>1</v>
      </c>
      <c r="BM14" s="248">
        <f t="shared" si="21"/>
        <v>200103</v>
      </c>
      <c r="BN14" s="379">
        <f t="shared" si="22"/>
        <v>0</v>
      </c>
      <c r="BO14" s="380">
        <f t="shared" si="23"/>
        <v>0</v>
      </c>
      <c r="BP14" s="248">
        <f t="shared" si="57"/>
        <v>525000</v>
      </c>
      <c r="BQ14" s="248">
        <f t="shared" si="24"/>
        <v>6256.25</v>
      </c>
      <c r="BR14" s="248">
        <f t="shared" si="62"/>
        <v>226</v>
      </c>
      <c r="BS14" s="392">
        <f t="shared" si="40"/>
        <v>-813837.5</v>
      </c>
      <c r="BT14" s="392" t="str">
        <f t="shared" si="41"/>
        <v>終了</v>
      </c>
      <c r="BU14" s="338">
        <f aca="true" t="shared" si="71" ref="BU14:BU37">IF(BT14="終了",0,IF(BT14="通常回",BQ14*12,IF(BT14="最終回",BS14-1,IF(BT14="初回",BR14*BQ14,""))))</f>
        <v>0</v>
      </c>
      <c r="BV14" s="251">
        <f aca="true" t="shared" si="72" ref="BV14:BV37">IF(BU14&lt;&gt;"",IF(BU14=0,1,BS14-BU14),"")</f>
        <v>1</v>
      </c>
      <c r="BW14" s="339">
        <f aca="true" t="shared" si="73" ref="BW14:BW37">IF(AN14&lt;&gt;"新定額",BK14,BU14)</f>
        <v>0</v>
      </c>
      <c r="BX14" s="338">
        <f aca="true" t="shared" si="74" ref="BX14:BX37">IF(AN14&lt;&gt;"新定額",BL14,BV14)</f>
        <v>1</v>
      </c>
      <c r="BY14" s="338">
        <f t="shared" si="42"/>
        <v>0</v>
      </c>
      <c r="BZ14" s="341">
        <f t="shared" si="43"/>
        <v>0</v>
      </c>
      <c r="CA14" s="346">
        <f t="shared" si="44"/>
        <v>1</v>
      </c>
      <c r="CB14" s="251">
        <f t="shared" si="45"/>
        <v>1</v>
      </c>
      <c r="CC14" s="248"/>
      <c r="CD14" s="233"/>
      <c r="CE14" s="233"/>
      <c r="CF14" s="233"/>
      <c r="CG14" s="233"/>
      <c r="CH14" s="233"/>
      <c r="CI14" s="233"/>
      <c r="CJ14" s="233"/>
      <c r="CK14" s="233"/>
      <c r="CL14" s="233"/>
      <c r="CM14" s="233"/>
      <c r="CN14" s="120"/>
      <c r="CO14" s="73">
        <v>8</v>
      </c>
      <c r="CP14" s="74" t="str">
        <f t="shared" si="46"/>
        <v>同時マルチ</v>
      </c>
      <c r="CQ14" s="82">
        <f t="shared" si="47"/>
      </c>
      <c r="CR14" s="83" t="str">
        <f t="shared" si="48"/>
        <v>H13</v>
      </c>
      <c r="CS14" s="83">
        <f t="shared" si="49"/>
        <v>3</v>
      </c>
      <c r="CT14" s="86">
        <f t="shared" si="50"/>
      </c>
      <c r="CU14" s="85">
        <f t="shared" si="51"/>
        <v>525000</v>
      </c>
      <c r="CV14" s="85">
        <f t="shared" si="29"/>
        <v>472500</v>
      </c>
      <c r="CW14" s="229" t="str">
        <f t="shared" si="52"/>
        <v>旧定額</v>
      </c>
      <c r="CX14" s="302">
        <f t="shared" si="58"/>
        <v>7</v>
      </c>
      <c r="CY14" s="340">
        <f t="shared" si="30"/>
        <v>0.142</v>
      </c>
      <c r="CZ14" s="79">
        <f t="shared" si="53"/>
        <v>12</v>
      </c>
      <c r="DA14" s="80" t="str">
        <f t="shared" si="54"/>
        <v>/12</v>
      </c>
      <c r="DB14" s="343">
        <f t="shared" si="59"/>
        <v>0</v>
      </c>
      <c r="DC14" s="87" t="str">
        <f t="shared" si="31"/>
        <v>100%</v>
      </c>
      <c r="DD14" s="85">
        <f t="shared" si="64"/>
        <v>0</v>
      </c>
      <c r="DE14" s="343">
        <f t="shared" si="60"/>
        <v>1</v>
      </c>
      <c r="DF14" s="306" t="str">
        <f t="shared" si="32"/>
        <v>終了　5年</v>
      </c>
      <c r="DG14" s="387"/>
      <c r="DH14" s="388"/>
      <c r="DI14" s="383"/>
      <c r="DJ14" s="383"/>
      <c r="DO14" s="120">
        <v>14</v>
      </c>
      <c r="DP14" s="120" t="s">
        <v>112</v>
      </c>
      <c r="DR14" s="120">
        <v>1939</v>
      </c>
    </row>
    <row r="15" spans="1:122" ht="15" customHeight="1">
      <c r="A15" s="292">
        <v>9</v>
      </c>
      <c r="B15" s="211" t="s">
        <v>628</v>
      </c>
      <c r="C15" s="212"/>
      <c r="D15" s="213"/>
      <c r="E15" s="214" t="s">
        <v>396</v>
      </c>
      <c r="F15" s="214">
        <v>3</v>
      </c>
      <c r="G15" s="215">
        <v>110250</v>
      </c>
      <c r="H15" s="216">
        <v>5</v>
      </c>
      <c r="I15" s="216">
        <v>7</v>
      </c>
      <c r="J15" s="217"/>
      <c r="K15" s="218"/>
      <c r="L15" s="218">
        <f t="shared" si="33"/>
      </c>
      <c r="M15" s="191">
        <f t="shared" si="2"/>
      </c>
      <c r="N15" s="194">
        <f t="shared" si="55"/>
        <v>0</v>
      </c>
      <c r="O15" s="291">
        <f t="shared" si="56"/>
        <v>1</v>
      </c>
      <c r="P15" s="286">
        <f>IF(ISERROR(IF(AND(C15="◎",YEAR(AW15)&lt;1999),VLOOKUP(AS15,テーブル!$S$8:$W$106,2,0),"")),"",IF(AND(C15="◎",YEAR(AW15)&lt;1999),VLOOKUP(AS15,テーブル!$S$8:$W$106,2,0),""))</f>
      </c>
      <c r="Q15" s="276">
        <f t="shared" si="34"/>
        <v>0.2</v>
      </c>
      <c r="R15" s="278">
        <f t="shared" si="35"/>
        <v>0</v>
      </c>
      <c r="S15" s="274">
        <f t="shared" si="3"/>
        <v>0</v>
      </c>
      <c r="T15" s="276">
        <f>IF(AN15="旧定額",VLOOKUP(H15,[0]!旧償却率,2,0),IF(ISERROR(VLOOKUP(H15,[0]!新償却率,2,0)),"",IF(U15=0,"",VLOOKUP(H15,[0]!新償却率,2,0))))</f>
        <v>0.2</v>
      </c>
      <c r="U15" s="274">
        <f t="shared" si="36"/>
        <v>58</v>
      </c>
      <c r="V15" s="274">
        <f t="shared" si="4"/>
        <v>95917.5</v>
      </c>
      <c r="W15" s="274">
        <f t="shared" si="5"/>
        <v>95917.5</v>
      </c>
      <c r="X15" s="378">
        <f>IF(AN15="旧定額",T15,VLOOKUP(H15,テーブル!$C$8:$D$106,2,0))</f>
        <v>0.2</v>
      </c>
      <c r="Y15" s="274">
        <f t="shared" si="6"/>
        <v>19845</v>
      </c>
      <c r="Z15" s="274"/>
      <c r="AA15" s="276">
        <f>IF(ISERROR(VLOOKUP(I15,テーブル!$S$8:$W$106,2,0)),"",IF(AN15="旧定額",VLOOKUP(I15,テーブル!$S$8:$W$106,2,0),VLOOKUP(I15,テーブル!$C$8:$D$106,2,0)))</f>
        <v>0.142</v>
      </c>
      <c r="AB15" s="236" t="str">
        <f t="shared" si="37"/>
        <v>終了　5年</v>
      </c>
      <c r="AC15" s="232"/>
      <c r="AD15" s="232"/>
      <c r="AE15" s="232"/>
      <c r="AF15" s="232"/>
      <c r="AG15" s="232"/>
      <c r="AH15" s="232"/>
      <c r="AI15" s="270"/>
      <c r="AJ15" s="270"/>
      <c r="AK15" s="270"/>
      <c r="AL15" s="270"/>
      <c r="AM15" s="233"/>
      <c r="AN15" s="248" t="str">
        <f t="shared" si="7"/>
        <v>旧定額</v>
      </c>
      <c r="AO15" s="248">
        <f t="shared" si="8"/>
        <v>58</v>
      </c>
      <c r="AP15" s="248">
        <f>IF(AO15&lt;&gt;"",INT(G15-VLOOKUP(H15,テーブル!$S$8:$W$106,4,0)*AO15*G15/1000000),"")</f>
        <v>14332</v>
      </c>
      <c r="AQ15" s="248">
        <f t="shared" si="9"/>
        <v>14332</v>
      </c>
      <c r="AR15" s="248">
        <f t="shared" si="10"/>
      </c>
      <c r="AS15" s="248">
        <f>IF(AR15&lt;0,"",IF(AR15&lt;&gt;"",VLOOKUP(H15,テーブル!$Q$8:$W$106,2,0),""))</f>
      </c>
      <c r="AT15" s="248">
        <f>IF(AS15&lt;&gt;"",G15-VLOOKUP(AS15,テーブル!$S$8:$W$106,4,0)*AR15*G15/1000000,G15)</f>
        <v>110250</v>
      </c>
      <c r="AU15" s="268">
        <f>IF(AS15&lt;&gt;"",AT15-VLOOKUP(H15,テーブル!$S$8:$W$106,4,0)*(AO15-AR15)*G15/1000000,AT15-VLOOKUP(H15,テーブル!$S$8:$W$106,4,0)*(AO15)*G15/1000000)</f>
        <v>14332.5</v>
      </c>
      <c r="AV15" s="284">
        <f t="shared" si="61"/>
        <v>14332</v>
      </c>
      <c r="AW15" s="249">
        <f t="shared" si="11"/>
        <v>37681</v>
      </c>
      <c r="AX15" s="248" t="str">
        <f t="shared" si="63"/>
        <v>通常最終</v>
      </c>
      <c r="AY15" s="248">
        <f>IF(AV15&lt;&gt;0,IF(AV15&gt;INT(G15*0.05),(VLOOKUP(H15,テーブル!$S$2:T108,2,0)*G15*0.9),IF(AV15=INT(G15*0.05),INT((AV15-1)/5),0)),"")</f>
        <v>19845</v>
      </c>
      <c r="AZ15" s="248">
        <f t="shared" si="12"/>
        <v>8820</v>
      </c>
      <c r="BA15" s="248">
        <f t="shared" si="65"/>
        <v>5512</v>
      </c>
      <c r="BB15" s="248">
        <f t="shared" si="66"/>
        <v>132</v>
      </c>
      <c r="BC15" s="248">
        <f t="shared" si="15"/>
        <v>0</v>
      </c>
      <c r="BD15" s="261">
        <f t="shared" si="0"/>
        <v>14089</v>
      </c>
      <c r="BE15" s="248">
        <f t="shared" si="67"/>
        <v>2008</v>
      </c>
      <c r="BF15" s="248">
        <f t="shared" si="68"/>
        <v>19601</v>
      </c>
      <c r="BG15" s="248">
        <f t="shared" si="18"/>
        <v>14089</v>
      </c>
      <c r="BH15" s="248">
        <f t="shared" si="69"/>
        <v>2009</v>
      </c>
      <c r="BI15" s="248">
        <f t="shared" si="38"/>
        <v>2013</v>
      </c>
      <c r="BJ15" s="248" t="str">
        <f t="shared" si="70"/>
        <v>終了</v>
      </c>
      <c r="BK15" s="263">
        <f t="shared" si="1"/>
        <v>0</v>
      </c>
      <c r="BL15" s="251">
        <f t="shared" si="39"/>
        <v>1</v>
      </c>
      <c r="BM15" s="248">
        <f t="shared" si="21"/>
        <v>200303</v>
      </c>
      <c r="BN15" s="379">
        <f t="shared" si="22"/>
        <v>0</v>
      </c>
      <c r="BO15" s="380">
        <f t="shared" si="23"/>
        <v>0</v>
      </c>
      <c r="BP15" s="248">
        <f t="shared" si="57"/>
        <v>110250</v>
      </c>
      <c r="BQ15" s="248">
        <f t="shared" si="24"/>
        <v>1313.8125</v>
      </c>
      <c r="BR15" s="248">
        <f t="shared" si="62"/>
        <v>202</v>
      </c>
      <c r="BS15" s="392">
        <f t="shared" si="40"/>
        <v>-139374.375</v>
      </c>
      <c r="BT15" s="392" t="str">
        <f t="shared" si="41"/>
        <v>終了</v>
      </c>
      <c r="BU15" s="338">
        <f t="shared" si="71"/>
        <v>0</v>
      </c>
      <c r="BV15" s="251">
        <f t="shared" si="72"/>
        <v>1</v>
      </c>
      <c r="BW15" s="339">
        <f t="shared" si="73"/>
        <v>0</v>
      </c>
      <c r="BX15" s="338">
        <f t="shared" si="74"/>
        <v>1</v>
      </c>
      <c r="BY15" s="338">
        <f t="shared" si="42"/>
        <v>0</v>
      </c>
      <c r="BZ15" s="341">
        <f t="shared" si="43"/>
        <v>0</v>
      </c>
      <c r="CA15" s="346">
        <f t="shared" si="44"/>
        <v>1</v>
      </c>
      <c r="CB15" s="251">
        <f t="shared" si="45"/>
        <v>1</v>
      </c>
      <c r="CC15" s="248"/>
      <c r="CD15" s="233"/>
      <c r="CE15" s="233"/>
      <c r="CF15" s="233"/>
      <c r="CG15" s="233"/>
      <c r="CH15" s="233"/>
      <c r="CI15" s="233"/>
      <c r="CJ15" s="233"/>
      <c r="CK15" s="233"/>
      <c r="CL15" s="233"/>
      <c r="CM15" s="233"/>
      <c r="CN15" s="120"/>
      <c r="CO15" s="70">
        <v>9</v>
      </c>
      <c r="CP15" s="74" t="str">
        <f t="shared" si="46"/>
        <v>育苗機</v>
      </c>
      <c r="CQ15" s="82">
        <f t="shared" si="47"/>
      </c>
      <c r="CR15" s="83" t="str">
        <f t="shared" si="48"/>
        <v>H15</v>
      </c>
      <c r="CS15" s="83">
        <f t="shared" si="49"/>
        <v>3</v>
      </c>
      <c r="CT15" s="86">
        <f t="shared" si="50"/>
      </c>
      <c r="CU15" s="85">
        <f t="shared" si="51"/>
        <v>110250</v>
      </c>
      <c r="CV15" s="85">
        <f t="shared" si="29"/>
        <v>99225</v>
      </c>
      <c r="CW15" s="229" t="str">
        <f t="shared" si="52"/>
        <v>旧定額</v>
      </c>
      <c r="CX15" s="302">
        <f t="shared" si="58"/>
        <v>7</v>
      </c>
      <c r="CY15" s="340">
        <f t="shared" si="30"/>
        <v>0.142</v>
      </c>
      <c r="CZ15" s="79">
        <f t="shared" si="53"/>
        <v>12</v>
      </c>
      <c r="DA15" s="80" t="str">
        <f t="shared" si="54"/>
        <v>/12</v>
      </c>
      <c r="DB15" s="343">
        <f t="shared" si="59"/>
        <v>0</v>
      </c>
      <c r="DC15" s="87" t="str">
        <f t="shared" si="31"/>
        <v>100%</v>
      </c>
      <c r="DD15" s="85">
        <f t="shared" si="64"/>
        <v>0</v>
      </c>
      <c r="DE15" s="343">
        <f t="shared" si="60"/>
        <v>1</v>
      </c>
      <c r="DF15" s="306" t="str">
        <f t="shared" si="32"/>
        <v>終了　5年</v>
      </c>
      <c r="DG15" s="387"/>
      <c r="DH15" s="388"/>
      <c r="DI15" s="383"/>
      <c r="DJ15" s="383"/>
      <c r="DO15" s="120">
        <v>15</v>
      </c>
      <c r="DP15" s="120" t="s">
        <v>113</v>
      </c>
      <c r="DR15" s="120">
        <v>1940</v>
      </c>
    </row>
    <row r="16" spans="1:122" ht="15" customHeight="1">
      <c r="A16" s="290">
        <v>10</v>
      </c>
      <c r="B16" s="211" t="s">
        <v>629</v>
      </c>
      <c r="C16" s="212"/>
      <c r="D16" s="213"/>
      <c r="E16" s="214" t="s">
        <v>396</v>
      </c>
      <c r="F16" s="214">
        <v>3</v>
      </c>
      <c r="G16" s="215">
        <v>798000</v>
      </c>
      <c r="H16" s="216">
        <v>5</v>
      </c>
      <c r="I16" s="216">
        <v>7</v>
      </c>
      <c r="J16" s="217"/>
      <c r="K16" s="218"/>
      <c r="L16" s="218">
        <f t="shared" si="33"/>
      </c>
      <c r="M16" s="191">
        <f t="shared" si="2"/>
      </c>
      <c r="N16" s="194">
        <f t="shared" si="55"/>
        <v>0</v>
      </c>
      <c r="O16" s="291">
        <f t="shared" si="56"/>
        <v>1</v>
      </c>
      <c r="P16" s="286">
        <f>IF(ISERROR(IF(AND(C16="◎",YEAR(AW16)&lt;1999),VLOOKUP(AS16,テーブル!$S$8:$W$106,2,0),"")),"",IF(AND(C16="◎",YEAR(AW16)&lt;1999),VLOOKUP(AS16,テーブル!$S$8:$W$106,2,0),""))</f>
      </c>
      <c r="Q16" s="276">
        <f t="shared" si="34"/>
        <v>0.2</v>
      </c>
      <c r="R16" s="278">
        <f t="shared" si="35"/>
        <v>0</v>
      </c>
      <c r="S16" s="274">
        <f t="shared" si="3"/>
        <v>0</v>
      </c>
      <c r="T16" s="276">
        <f>IF(AN16="旧定額",VLOOKUP(H16,[0]!旧償却率,2,0),IF(ISERROR(VLOOKUP(H16,[0]!新償却率,2,0)),"",IF(U16=0,"",VLOOKUP(H16,[0]!新償却率,2,0))))</f>
        <v>0.2</v>
      </c>
      <c r="U16" s="274">
        <f t="shared" si="36"/>
        <v>58</v>
      </c>
      <c r="V16" s="274">
        <f t="shared" si="4"/>
        <v>694260</v>
      </c>
      <c r="W16" s="274">
        <f t="shared" si="5"/>
        <v>694260</v>
      </c>
      <c r="X16" s="378">
        <f>IF(AN16="旧定額",T16,VLOOKUP(H16,テーブル!$C$8:$D$106,2,0))</f>
        <v>0.2</v>
      </c>
      <c r="Y16" s="274">
        <f t="shared" si="6"/>
        <v>143640</v>
      </c>
      <c r="Z16" s="274"/>
      <c r="AA16" s="276">
        <f>IF(ISERROR(VLOOKUP(I16,テーブル!$S$8:$W$106,2,0)),"",IF(AN16="旧定額",VLOOKUP(I16,テーブル!$S$8:$W$106,2,0),VLOOKUP(I16,テーブル!$C$8:$D$106,2,0)))</f>
        <v>0.142</v>
      </c>
      <c r="AB16" s="236" t="str">
        <f t="shared" si="37"/>
        <v>終了　5年</v>
      </c>
      <c r="AC16" s="232"/>
      <c r="AD16" s="232"/>
      <c r="AE16" s="232"/>
      <c r="AF16" s="232"/>
      <c r="AG16" s="232"/>
      <c r="AH16" s="232"/>
      <c r="AI16" s="270"/>
      <c r="AJ16" s="270"/>
      <c r="AK16" s="270"/>
      <c r="AL16" s="270"/>
      <c r="AM16" s="233"/>
      <c r="AN16" s="248" t="str">
        <f t="shared" si="7"/>
        <v>旧定額</v>
      </c>
      <c r="AO16" s="248">
        <f t="shared" si="8"/>
        <v>58</v>
      </c>
      <c r="AP16" s="248">
        <f>IF(AO16&lt;&gt;"",INT(G16-VLOOKUP(H16,テーブル!$S$8:$W$106,4,0)*AO16*G16/1000000),"")</f>
        <v>103740</v>
      </c>
      <c r="AQ16" s="248">
        <f t="shared" si="9"/>
        <v>103740</v>
      </c>
      <c r="AR16" s="248">
        <f t="shared" si="10"/>
      </c>
      <c r="AS16" s="248">
        <f>IF(AR16&lt;0,"",IF(AR16&lt;&gt;"",VLOOKUP(H16,テーブル!$Q$8:$W$106,2,0),""))</f>
      </c>
      <c r="AT16" s="248">
        <f>IF(AS16&lt;&gt;"",G16-VLOOKUP(AS16,テーブル!$S$8:$W$106,4,0)*AR16*G16/1000000,G16)</f>
        <v>798000</v>
      </c>
      <c r="AU16" s="268">
        <f>IF(AS16&lt;&gt;"",AT16-VLOOKUP(H16,テーブル!$S$8:$W$106,4,0)*(AO16-AR16)*G16/1000000,AT16-VLOOKUP(H16,テーブル!$S$8:$W$106,4,0)*(AO16)*G16/1000000)</f>
        <v>103740</v>
      </c>
      <c r="AV16" s="284">
        <f t="shared" si="61"/>
        <v>103740</v>
      </c>
      <c r="AW16" s="249">
        <f t="shared" si="11"/>
        <v>37681</v>
      </c>
      <c r="AX16" s="248" t="str">
        <f t="shared" si="63"/>
        <v>通常最終</v>
      </c>
      <c r="AY16" s="248">
        <f>IF(AV16&lt;&gt;0,IF(AV16&gt;INT(G16*0.05),(VLOOKUP(H16,テーブル!$S$2:T109,2,0)*G16*0.9),IF(AV16=INT(G16*0.05),INT((AV16-1)/5),0)),"")</f>
        <v>143640</v>
      </c>
      <c r="AZ16" s="248">
        <f t="shared" si="12"/>
        <v>63840</v>
      </c>
      <c r="BA16" s="248">
        <f t="shared" si="65"/>
        <v>39900</v>
      </c>
      <c r="BB16" s="248">
        <f t="shared" si="66"/>
        <v>132</v>
      </c>
      <c r="BC16" s="248">
        <f t="shared" si="15"/>
        <v>0</v>
      </c>
      <c r="BD16" s="261">
        <f t="shared" si="0"/>
        <v>101984</v>
      </c>
      <c r="BE16" s="248">
        <f t="shared" si="67"/>
        <v>2008</v>
      </c>
      <c r="BF16" s="248">
        <f t="shared" si="68"/>
        <v>141884</v>
      </c>
      <c r="BG16" s="248">
        <f t="shared" si="18"/>
        <v>101984</v>
      </c>
      <c r="BH16" s="248">
        <f t="shared" si="69"/>
        <v>2009</v>
      </c>
      <c r="BI16" s="248">
        <f t="shared" si="38"/>
        <v>2013</v>
      </c>
      <c r="BJ16" s="248" t="str">
        <f t="shared" si="70"/>
        <v>終了</v>
      </c>
      <c r="BK16" s="263">
        <f t="shared" si="1"/>
        <v>0</v>
      </c>
      <c r="BL16" s="251">
        <f t="shared" si="39"/>
        <v>1</v>
      </c>
      <c r="BM16" s="248">
        <f t="shared" si="21"/>
        <v>200303</v>
      </c>
      <c r="BN16" s="379">
        <f t="shared" si="22"/>
        <v>0</v>
      </c>
      <c r="BO16" s="380">
        <f t="shared" si="23"/>
        <v>0</v>
      </c>
      <c r="BP16" s="248">
        <f t="shared" si="57"/>
        <v>798000</v>
      </c>
      <c r="BQ16" s="248">
        <f t="shared" si="24"/>
        <v>9509.5</v>
      </c>
      <c r="BR16" s="248">
        <f t="shared" si="62"/>
        <v>202</v>
      </c>
      <c r="BS16" s="392">
        <f t="shared" si="40"/>
        <v>-1008805</v>
      </c>
      <c r="BT16" s="392" t="str">
        <f t="shared" si="41"/>
        <v>終了</v>
      </c>
      <c r="BU16" s="338">
        <f t="shared" si="71"/>
        <v>0</v>
      </c>
      <c r="BV16" s="251">
        <f t="shared" si="72"/>
        <v>1</v>
      </c>
      <c r="BW16" s="339">
        <f t="shared" si="73"/>
        <v>0</v>
      </c>
      <c r="BX16" s="338">
        <f t="shared" si="74"/>
        <v>1</v>
      </c>
      <c r="BY16" s="338">
        <f t="shared" si="42"/>
        <v>0</v>
      </c>
      <c r="BZ16" s="341">
        <f t="shared" si="43"/>
        <v>0</v>
      </c>
      <c r="CA16" s="346">
        <f t="shared" si="44"/>
        <v>1</v>
      </c>
      <c r="CB16" s="251">
        <f t="shared" si="45"/>
        <v>1</v>
      </c>
      <c r="CC16" s="248"/>
      <c r="CD16" s="233"/>
      <c r="CE16" s="233"/>
      <c r="CF16" s="233"/>
      <c r="CG16" s="233"/>
      <c r="CH16" s="233"/>
      <c r="CI16" s="233"/>
      <c r="CJ16" s="233"/>
      <c r="CK16" s="233"/>
      <c r="CL16" s="233"/>
      <c r="CM16" s="233"/>
      <c r="CN16" s="120"/>
      <c r="CO16" s="73">
        <v>10</v>
      </c>
      <c r="CP16" s="74" t="str">
        <f t="shared" si="46"/>
        <v>えだまめ定食機</v>
      </c>
      <c r="CQ16" s="82">
        <f t="shared" si="47"/>
      </c>
      <c r="CR16" s="83" t="str">
        <f t="shared" si="48"/>
        <v>H15</v>
      </c>
      <c r="CS16" s="83">
        <f t="shared" si="49"/>
        <v>3</v>
      </c>
      <c r="CT16" s="86">
        <f t="shared" si="50"/>
      </c>
      <c r="CU16" s="85">
        <f t="shared" si="51"/>
        <v>798000</v>
      </c>
      <c r="CV16" s="85">
        <f t="shared" si="29"/>
        <v>718200</v>
      </c>
      <c r="CW16" s="229" t="str">
        <f t="shared" si="52"/>
        <v>旧定額</v>
      </c>
      <c r="CX16" s="302">
        <f t="shared" si="58"/>
        <v>7</v>
      </c>
      <c r="CY16" s="340">
        <f t="shared" si="30"/>
        <v>0.142</v>
      </c>
      <c r="CZ16" s="79">
        <f t="shared" si="53"/>
        <v>12</v>
      </c>
      <c r="DA16" s="80" t="str">
        <f t="shared" si="54"/>
        <v>/12</v>
      </c>
      <c r="DB16" s="343">
        <f t="shared" si="59"/>
        <v>0</v>
      </c>
      <c r="DC16" s="87" t="str">
        <f t="shared" si="31"/>
        <v>100%</v>
      </c>
      <c r="DD16" s="85">
        <f t="shared" si="64"/>
        <v>0</v>
      </c>
      <c r="DE16" s="343">
        <f t="shared" si="60"/>
        <v>1</v>
      </c>
      <c r="DF16" s="306" t="str">
        <f t="shared" si="32"/>
        <v>終了　5年</v>
      </c>
      <c r="DG16" s="387"/>
      <c r="DH16" s="388"/>
      <c r="DI16" s="383"/>
      <c r="DJ16" s="383"/>
      <c r="DO16" s="120">
        <v>16</v>
      </c>
      <c r="DP16" s="120" t="s">
        <v>114</v>
      </c>
      <c r="DR16" s="120">
        <v>1941</v>
      </c>
    </row>
    <row r="17" spans="1:122" ht="15" customHeight="1">
      <c r="A17" s="292">
        <v>11</v>
      </c>
      <c r="B17" s="211" t="s">
        <v>651</v>
      </c>
      <c r="C17" s="212"/>
      <c r="D17" s="213"/>
      <c r="E17" s="214">
        <v>1</v>
      </c>
      <c r="F17" s="214">
        <v>8</v>
      </c>
      <c r="G17" s="215">
        <v>458000</v>
      </c>
      <c r="H17" s="216">
        <v>7</v>
      </c>
      <c r="I17" s="216">
        <v>7</v>
      </c>
      <c r="J17" s="217"/>
      <c r="K17" s="218"/>
      <c r="L17" s="218">
        <f t="shared" si="33"/>
      </c>
      <c r="M17" s="191">
        <f t="shared" si="2"/>
      </c>
      <c r="N17" s="194">
        <f t="shared" si="55"/>
        <v>27289.166666666664</v>
      </c>
      <c r="O17" s="291">
        <f t="shared" si="56"/>
        <v>430710.8333333333</v>
      </c>
      <c r="P17" s="286">
        <f>IF(ISERROR(IF(AND(C17="◎",YEAR(AW17)&lt;1999),VLOOKUP(AS17,テーブル!$S$8:$W$106,2,0),"")),"",IF(AND(C17="◎",YEAR(AW17)&lt;1999),VLOOKUP(AS17,テーブル!$S$8:$W$106,2,0),""))</f>
      </c>
      <c r="Q17" s="276">
        <f t="shared" si="34"/>
      </c>
      <c r="R17" s="278">
        <f t="shared" si="35"/>
        <v>0</v>
      </c>
      <c r="S17" s="274" t="e">
        <f t="shared" si="3"/>
        <v>#VALUE!</v>
      </c>
      <c r="T17" s="276">
        <f>IF(AN17="旧定額",VLOOKUP(H17,[0]!旧償却率,2,0),IF(ISERROR(VLOOKUP(H17,[0]!新償却率,2,0)),"",IF(U17=0,"",VLOOKUP(H17,[0]!新償却率,2,0))))</f>
      </c>
      <c r="U17" s="274">
        <f t="shared" si="36"/>
        <v>0</v>
      </c>
      <c r="V17" s="274">
        <f t="shared" si="4"/>
      </c>
      <c r="W17" s="274">
        <f t="shared" si="5"/>
        <v>0</v>
      </c>
      <c r="X17" s="378">
        <f>IF(AN17="旧定額",T17,VLOOKUP(H17,テーブル!$C$8:$D$106,2,0))</f>
        <v>0.143</v>
      </c>
      <c r="Y17" s="274">
        <f t="shared" si="6"/>
        <v>65493.99999999999</v>
      </c>
      <c r="Z17" s="274"/>
      <c r="AA17" s="276">
        <f>IF(ISERROR(VLOOKUP(I17,テーブル!$S$8:$W$106,2,0)),"",IF(AN17="旧定額",VLOOKUP(I17,テーブル!$S$8:$W$106,2,0),VLOOKUP(I17,テーブル!$C$8:$D$106,2,0)))</f>
        <v>0.143</v>
      </c>
      <c r="AB17" s="236" t="str">
        <f t="shared" si="37"/>
        <v>　7年</v>
      </c>
      <c r="AC17" s="232"/>
      <c r="AD17" s="232"/>
      <c r="AE17" s="232"/>
      <c r="AF17" s="232"/>
      <c r="AG17" s="232"/>
      <c r="AH17" s="232"/>
      <c r="AI17" s="270"/>
      <c r="AJ17" s="270"/>
      <c r="AK17" s="270"/>
      <c r="AL17" s="270"/>
      <c r="AM17" s="233"/>
      <c r="AN17" s="248" t="str">
        <f t="shared" si="7"/>
        <v>新定額</v>
      </c>
      <c r="AO17" s="248">
        <f t="shared" si="8"/>
      </c>
      <c r="AP17" s="248">
        <f>IF(AO17&lt;&gt;"",INT(G17-VLOOKUP(H17,テーブル!$S$8:$W$106,4,0)*AO17*G17/1000000),"")</f>
      </c>
      <c r="AQ17" s="248">
        <f t="shared" si="9"/>
      </c>
      <c r="AR17" s="248">
        <f t="shared" si="10"/>
      </c>
      <c r="AS17" s="248">
        <f>IF(AR17&lt;0,"",IF(AR17&lt;&gt;"",VLOOKUP(H17,テーブル!$Q$8:$W$106,2,0),""))</f>
      </c>
      <c r="AT17" s="248">
        <f>IF(AS17&lt;&gt;"",G17-VLOOKUP(AS17,テーブル!$S$8:$W$106,4,0)*AR17*G17/1000000,G17)</f>
        <v>458000</v>
      </c>
      <c r="AU17" s="268" t="e">
        <f>IF(AS17&lt;&gt;"",AT17-VLOOKUP(H17,テーブル!$S$8:$W$106,4,0)*(AO17-AR17)*G17/1000000,AT17-VLOOKUP(H17,テーブル!$S$8:$W$106,4,0)*(AO17)*G17/1000000)</f>
        <v>#VALUE!</v>
      </c>
      <c r="AV17" s="284">
        <f t="shared" si="61"/>
        <v>0</v>
      </c>
      <c r="AW17" s="249">
        <f t="shared" si="11"/>
        <v>43678</v>
      </c>
      <c r="AX17" s="248">
        <f t="shared" si="63"/>
      </c>
      <c r="AY17" s="248">
        <f>IF(AV17&lt;&gt;0,IF(AV17&gt;INT(G17*0.05),(VLOOKUP(H17,テーブル!$S$2:T110,2,0)*G17*0.9),IF(AV17=INT(G17*0.05),INT((AV17-1)/5),0)),"")</f>
      </c>
      <c r="AZ17" s="248">
        <f t="shared" si="12"/>
      </c>
      <c r="BA17" s="248">
        <f t="shared" si="65"/>
      </c>
      <c r="BB17" s="248">
        <f t="shared" si="66"/>
      </c>
      <c r="BC17" s="248">
        <f t="shared" si="15"/>
      </c>
      <c r="BD17" s="261">
        <f t="shared" si="0"/>
      </c>
      <c r="BE17" s="248">
        <f t="shared" si="67"/>
      </c>
      <c r="BF17" s="248">
        <f t="shared" si="68"/>
      </c>
      <c r="BG17" s="248">
        <f t="shared" si="18"/>
      </c>
      <c r="BH17" s="248">
        <f t="shared" si="69"/>
      </c>
      <c r="BI17" s="248">
        <f t="shared" si="38"/>
      </c>
      <c r="BJ17" s="248">
        <f t="shared" si="70"/>
      </c>
      <c r="BK17" s="263">
        <f aca="true" t="shared" si="75" ref="BK17:BK37">(IF(BE17&lt;&gt;"",IF($BC$3&lt;BE17,BD17,IF($BC$3=BE17,BG17,IF($BC$3&lt;BI17,((G17*0.05-1)/5),IF($BC$3=BI17,(G17*0.05-1)-4*((G17*0.05)/5),0)))),""))</f>
      </c>
      <c r="BL17" s="251">
        <f t="shared" si="39"/>
      </c>
      <c r="BM17" s="248">
        <f t="shared" si="21"/>
        <v>201908</v>
      </c>
      <c r="BN17" s="379">
        <f t="shared" si="22"/>
        <v>-127</v>
      </c>
      <c r="BO17" s="380">
        <f t="shared" si="23"/>
        <v>0</v>
      </c>
      <c r="BP17" s="248">
        <f t="shared" si="57"/>
        <v>458000</v>
      </c>
      <c r="BQ17" s="248">
        <f t="shared" si="24"/>
        <v>5457.833333333333</v>
      </c>
      <c r="BR17" s="248">
        <f t="shared" si="62"/>
        <v>5</v>
      </c>
      <c r="BS17" s="392">
        <f t="shared" si="40"/>
        <v>458000</v>
      </c>
      <c r="BT17" s="392" t="str">
        <f t="shared" si="41"/>
        <v>初回</v>
      </c>
      <c r="BU17" s="338">
        <f t="shared" si="71"/>
        <v>27289.166666666664</v>
      </c>
      <c r="BV17" s="251">
        <f t="shared" si="72"/>
        <v>430710.8333333333</v>
      </c>
      <c r="BW17" s="339">
        <f t="shared" si="73"/>
        <v>27289.166666666664</v>
      </c>
      <c r="BX17" s="338">
        <f t="shared" si="74"/>
        <v>430710.8333333333</v>
      </c>
      <c r="BY17" s="338">
        <f t="shared" si="42"/>
        <v>27289.166666666664</v>
      </c>
      <c r="BZ17" s="341">
        <f t="shared" si="43"/>
        <v>27289.166666666664</v>
      </c>
      <c r="CA17" s="346">
        <f t="shared" si="44"/>
        <v>430710.8333333333</v>
      </c>
      <c r="CB17" s="251">
        <f t="shared" si="45"/>
        <v>430710.8333333333</v>
      </c>
      <c r="CC17" s="248"/>
      <c r="CD17" s="233"/>
      <c r="CE17" s="233"/>
      <c r="CF17" s="233"/>
      <c r="CG17" s="233"/>
      <c r="CH17" s="233"/>
      <c r="CI17" s="233"/>
      <c r="CJ17" s="233"/>
      <c r="CK17" s="233"/>
      <c r="CL17" s="233"/>
      <c r="CM17" s="233"/>
      <c r="CN17" s="120"/>
      <c r="CO17" s="70">
        <v>11</v>
      </c>
      <c r="CP17" s="74" t="str">
        <f t="shared" si="46"/>
        <v>クボタ搬送機</v>
      </c>
      <c r="CQ17" s="82">
        <f t="shared" si="47"/>
      </c>
      <c r="CR17" s="83">
        <f t="shared" si="48"/>
        <v>1</v>
      </c>
      <c r="CS17" s="83">
        <f t="shared" si="49"/>
        <v>8</v>
      </c>
      <c r="CT17" s="86">
        <f t="shared" si="50"/>
      </c>
      <c r="CU17" s="85">
        <f t="shared" si="51"/>
        <v>458000</v>
      </c>
      <c r="CV17" s="85">
        <f t="shared" si="29"/>
        <v>458000</v>
      </c>
      <c r="CW17" s="229" t="str">
        <f t="shared" si="52"/>
        <v>新定額</v>
      </c>
      <c r="CX17" s="302">
        <f t="shared" si="58"/>
        <v>7</v>
      </c>
      <c r="CY17" s="340">
        <f t="shared" si="30"/>
        <v>0.143</v>
      </c>
      <c r="CZ17" s="79">
        <f t="shared" si="53"/>
        <v>5</v>
      </c>
      <c r="DA17" s="80" t="str">
        <f t="shared" si="54"/>
        <v>/12</v>
      </c>
      <c r="DB17" s="343">
        <f t="shared" si="59"/>
        <v>27289</v>
      </c>
      <c r="DC17" s="87" t="str">
        <f t="shared" si="31"/>
        <v>100%</v>
      </c>
      <c r="DD17" s="85">
        <f t="shared" si="64"/>
        <v>27289</v>
      </c>
      <c r="DE17" s="343">
        <f t="shared" si="60"/>
        <v>430711</v>
      </c>
      <c r="DF17" s="306" t="str">
        <f t="shared" si="32"/>
        <v>　7年</v>
      </c>
      <c r="DG17" s="363"/>
      <c r="DH17" s="388"/>
      <c r="DI17" s="383"/>
      <c r="DJ17" s="383"/>
      <c r="DO17" s="120">
        <v>17</v>
      </c>
      <c r="DP17" s="120" t="s">
        <v>115</v>
      </c>
      <c r="DR17" s="120">
        <v>1942</v>
      </c>
    </row>
    <row r="18" spans="1:122" ht="15" customHeight="1">
      <c r="A18" s="290">
        <v>12</v>
      </c>
      <c r="B18" s="211" t="s">
        <v>630</v>
      </c>
      <c r="C18" s="212"/>
      <c r="D18" s="213"/>
      <c r="E18" s="214" t="s">
        <v>649</v>
      </c>
      <c r="F18" s="214">
        <v>8</v>
      </c>
      <c r="G18" s="215">
        <v>500000</v>
      </c>
      <c r="H18" s="216">
        <v>5</v>
      </c>
      <c r="I18" s="216">
        <v>5</v>
      </c>
      <c r="J18" s="217"/>
      <c r="K18" s="218"/>
      <c r="L18" s="218">
        <f t="shared" si="33"/>
      </c>
      <c r="M18" s="191">
        <f t="shared" si="2"/>
      </c>
      <c r="N18" s="194">
        <f t="shared" si="55"/>
        <v>0</v>
      </c>
      <c r="O18" s="291">
        <f t="shared" si="56"/>
        <v>1</v>
      </c>
      <c r="P18" s="286">
        <f>IF(ISERROR(IF(AND(C18="◎",YEAR(AW18)&lt;1999),VLOOKUP(AS18,テーブル!$S$8:$W$106,2,0),"")),"",IF(AND(C18="◎",YEAR(AW18)&lt;1999),VLOOKUP(AS18,テーブル!$S$8:$W$106,2,0),""))</f>
      </c>
      <c r="Q18" s="276">
        <f t="shared" si="34"/>
        <v>0.2</v>
      </c>
      <c r="R18" s="278">
        <f t="shared" si="35"/>
        <v>101</v>
      </c>
      <c r="S18" s="274">
        <f t="shared" si="3"/>
        <v>757500</v>
      </c>
      <c r="T18" s="276">
        <f>IF(AN18="旧定額",VLOOKUP(H18,[0]!旧償却率,2,0),IF(ISERROR(VLOOKUP(H18,[0]!新償却率,2,0)),"",IF(U18=0,"",VLOOKUP(H18,[0]!新償却率,2,0))))</f>
        <v>0.2</v>
      </c>
      <c r="U18" s="274">
        <f t="shared" si="36"/>
        <v>108</v>
      </c>
      <c r="V18" s="274">
        <f t="shared" si="4"/>
        <v>810000</v>
      </c>
      <c r="W18" s="274">
        <f t="shared" si="5"/>
        <v>475000</v>
      </c>
      <c r="X18" s="378">
        <f>IF(AN18="旧定額",T18,VLOOKUP(H18,テーブル!$C$8:$D$106,2,0))</f>
        <v>0.2</v>
      </c>
      <c r="Y18" s="274">
        <f t="shared" si="6"/>
        <v>90000</v>
      </c>
      <c r="Z18" s="274"/>
      <c r="AA18" s="276">
        <f>IF(ISERROR(VLOOKUP(I18,テーブル!$S$8:$W$106,2,0)),"",IF(AN18="旧定額",VLOOKUP(I18,テーブル!$S$8:$W$106,2,0),VLOOKUP(I18,テーブル!$C$8:$D$106,2,0)))</f>
        <v>0.2</v>
      </c>
      <c r="AB18" s="236" t="str">
        <f t="shared" si="37"/>
        <v>終了　5年</v>
      </c>
      <c r="AC18" s="232"/>
      <c r="AD18" s="232"/>
      <c r="AE18" s="232"/>
      <c r="AF18" s="232"/>
      <c r="AG18" s="232"/>
      <c r="AH18" s="232"/>
      <c r="AI18" s="270"/>
      <c r="AJ18" s="270"/>
      <c r="AK18" s="270"/>
      <c r="AL18" s="270"/>
      <c r="AM18" s="233"/>
      <c r="AN18" s="248" t="str">
        <f t="shared" si="7"/>
        <v>旧定額</v>
      </c>
      <c r="AO18" s="248">
        <f t="shared" si="8"/>
        <v>209</v>
      </c>
      <c r="AP18" s="248">
        <f>IF(AO18&lt;&gt;"",INT(G18-VLOOKUP(H18,テーブル!$S$8:$W$106,4,0)*AO18*G18/1000000),"")</f>
        <v>-1067500</v>
      </c>
      <c r="AQ18" s="248">
        <f t="shared" si="9"/>
        <v>25000</v>
      </c>
      <c r="AR18" s="248">
        <f t="shared" si="10"/>
      </c>
      <c r="AS18" s="248">
        <f>IF(AR18&lt;0,"",IF(AR18&lt;&gt;"",VLOOKUP(H18,テーブル!$Q$8:$W$106,2,0),""))</f>
      </c>
      <c r="AT18" s="248">
        <f>IF(AS18&lt;&gt;"",G18-VLOOKUP(AS18,テーブル!$S$8:$W$106,4,0)*AR18*G18/1000000,G18)</f>
        <v>500000</v>
      </c>
      <c r="AU18" s="268">
        <f>IF(AS18&lt;&gt;"",AT18-VLOOKUP(H18,テーブル!$S$8:$W$106,4,0)*(AO18-AR18)*G18/1000000,AT18-VLOOKUP(H18,テーブル!$S$8:$W$106,4,0)*(AO18)*G18/1000000)</f>
        <v>-1067500</v>
      </c>
      <c r="AV18" s="284">
        <f t="shared" si="61"/>
        <v>25000</v>
      </c>
      <c r="AW18" s="249">
        <f t="shared" si="11"/>
        <v>33086</v>
      </c>
      <c r="AX18" s="248" t="str">
        <f t="shared" si="63"/>
        <v>均等償却</v>
      </c>
      <c r="AY18" s="248">
        <f>IF(AV18&lt;&gt;0,IF(AV18&gt;INT(G18*0.05),(VLOOKUP(H18,テーブル!$S$2:T111,2,0)*G18*0.9),IF(AV18=INT(G18*0.05),INT((AV18-1)/5),0)),"")</f>
        <v>4999</v>
      </c>
      <c r="AZ18" s="248">
        <f t="shared" si="12"/>
        <v>4999</v>
      </c>
      <c r="BA18" s="248">
        <f t="shared" si="65"/>
        <v>20001</v>
      </c>
      <c r="BB18" s="248">
        <f t="shared" si="66"/>
        <v>132</v>
      </c>
      <c r="BC18" s="248">
        <f t="shared" si="15"/>
        <v>-0.6665333333333333</v>
      </c>
      <c r="BD18" s="261">
        <f t="shared" si="0"/>
        <v>90000</v>
      </c>
      <c r="BE18" s="248">
        <f t="shared" si="67"/>
        <v>2007</v>
      </c>
      <c r="BF18" s="248">
        <f t="shared" si="68"/>
        <v>200001</v>
      </c>
      <c r="BG18" s="248">
        <f t="shared" si="18"/>
        <v>175001</v>
      </c>
      <c r="BH18" s="248">
        <f t="shared" si="69"/>
        <v>2008</v>
      </c>
      <c r="BI18" s="248">
        <f t="shared" si="38"/>
        <v>2012</v>
      </c>
      <c r="BJ18" s="248" t="str">
        <f t="shared" si="70"/>
        <v>終了</v>
      </c>
      <c r="BK18" s="263">
        <f t="shared" si="75"/>
        <v>0</v>
      </c>
      <c r="BL18" s="251">
        <f t="shared" si="39"/>
        <v>1</v>
      </c>
      <c r="BM18" s="248">
        <f t="shared" si="21"/>
        <v>199008</v>
      </c>
      <c r="BN18" s="379">
        <f t="shared" si="22"/>
        <v>0</v>
      </c>
      <c r="BO18" s="380">
        <f t="shared" si="23"/>
        <v>0</v>
      </c>
      <c r="BP18" s="248">
        <f t="shared" si="57"/>
        <v>500000</v>
      </c>
      <c r="BQ18" s="248">
        <f t="shared" si="24"/>
        <v>8333.333333333334</v>
      </c>
      <c r="BR18" s="248">
        <f t="shared" si="62"/>
        <v>353</v>
      </c>
      <c r="BS18" s="392">
        <f t="shared" si="40"/>
        <v>-2341666.666666667</v>
      </c>
      <c r="BT18" s="392" t="str">
        <f t="shared" si="41"/>
        <v>終了</v>
      </c>
      <c r="BU18" s="356">
        <f t="shared" si="71"/>
        <v>0</v>
      </c>
      <c r="BV18" s="251">
        <f t="shared" si="72"/>
        <v>1</v>
      </c>
      <c r="BW18" s="339">
        <f t="shared" si="73"/>
        <v>0</v>
      </c>
      <c r="BX18" s="338">
        <f t="shared" si="74"/>
        <v>1</v>
      </c>
      <c r="BY18" s="338">
        <f t="shared" si="42"/>
        <v>0</v>
      </c>
      <c r="BZ18" s="341">
        <f t="shared" si="43"/>
        <v>0</v>
      </c>
      <c r="CA18" s="346">
        <f t="shared" si="44"/>
        <v>1</v>
      </c>
      <c r="CB18" s="251">
        <f t="shared" si="45"/>
        <v>1</v>
      </c>
      <c r="CC18" s="248"/>
      <c r="CD18" s="233"/>
      <c r="CE18" s="233"/>
      <c r="CF18" s="233"/>
      <c r="CG18" s="233"/>
      <c r="CH18" s="233"/>
      <c r="CI18" s="233"/>
      <c r="CJ18" s="233"/>
      <c r="CK18" s="233"/>
      <c r="CL18" s="233"/>
      <c r="CM18" s="233"/>
      <c r="CN18" s="120"/>
      <c r="CO18" s="73">
        <v>12</v>
      </c>
      <c r="CP18" s="74" t="str">
        <f t="shared" si="46"/>
        <v>保冷庫</v>
      </c>
      <c r="CQ18" s="82">
        <f t="shared" si="47"/>
      </c>
      <c r="CR18" s="83" t="str">
        <f t="shared" si="48"/>
        <v>H2</v>
      </c>
      <c r="CS18" s="83">
        <f t="shared" si="49"/>
        <v>8</v>
      </c>
      <c r="CT18" s="86">
        <f t="shared" si="50"/>
      </c>
      <c r="CU18" s="85">
        <f t="shared" si="51"/>
        <v>500000</v>
      </c>
      <c r="CV18" s="85">
        <f t="shared" si="29"/>
        <v>450000</v>
      </c>
      <c r="CW18" s="229" t="str">
        <f t="shared" si="52"/>
        <v>旧定額</v>
      </c>
      <c r="CX18" s="302">
        <f t="shared" si="58"/>
        <v>5</v>
      </c>
      <c r="CY18" s="340">
        <f t="shared" si="30"/>
        <v>0.2</v>
      </c>
      <c r="CZ18" s="79">
        <f t="shared" si="53"/>
        <v>12</v>
      </c>
      <c r="DA18" s="80" t="str">
        <f t="shared" si="54"/>
        <v>/12</v>
      </c>
      <c r="DB18" s="343">
        <f t="shared" si="59"/>
        <v>0</v>
      </c>
      <c r="DC18" s="87" t="str">
        <f t="shared" si="31"/>
        <v>100%</v>
      </c>
      <c r="DD18" s="85">
        <f t="shared" si="64"/>
        <v>0</v>
      </c>
      <c r="DE18" s="343">
        <f t="shared" si="60"/>
        <v>1</v>
      </c>
      <c r="DF18" s="306" t="str">
        <f t="shared" si="32"/>
        <v>終了　5年</v>
      </c>
      <c r="DG18" s="363"/>
      <c r="DH18" s="388"/>
      <c r="DI18" s="383"/>
      <c r="DJ18" s="383"/>
      <c r="DO18" s="120">
        <v>18</v>
      </c>
      <c r="DP18" s="120" t="s">
        <v>116</v>
      </c>
      <c r="DR18" s="120">
        <v>1943</v>
      </c>
    </row>
    <row r="19" spans="1:122" ht="15" customHeight="1">
      <c r="A19" s="292">
        <v>13</v>
      </c>
      <c r="B19" s="211" t="s">
        <v>631</v>
      </c>
      <c r="C19" s="212"/>
      <c r="D19" s="213"/>
      <c r="E19" s="214" t="s">
        <v>27</v>
      </c>
      <c r="F19" s="214">
        <v>10</v>
      </c>
      <c r="G19" s="215">
        <v>230650</v>
      </c>
      <c r="H19" s="216">
        <v>5</v>
      </c>
      <c r="I19" s="216">
        <v>7</v>
      </c>
      <c r="J19" s="217"/>
      <c r="K19" s="218"/>
      <c r="L19" s="218">
        <f t="shared" si="33"/>
      </c>
      <c r="M19" s="191">
        <f t="shared" si="2"/>
      </c>
      <c r="N19" s="194">
        <f t="shared" si="55"/>
        <v>32982.95</v>
      </c>
      <c r="O19" s="291">
        <f t="shared" si="56"/>
        <v>57489.512500000026</v>
      </c>
      <c r="P19" s="286">
        <f>IF(ISERROR(IF(AND(C19="◎",YEAR(AW19)&lt;1999),VLOOKUP(AS19,テーブル!$S$8:$W$106,2,0),"")),"",IF(AND(C19="◎",YEAR(AW19)&lt;1999),VLOOKUP(AS19,テーブル!$S$8:$W$106,2,0),""))</f>
      </c>
      <c r="Q19" s="276">
        <f t="shared" si="34"/>
      </c>
      <c r="R19" s="278">
        <f t="shared" si="35"/>
        <v>0</v>
      </c>
      <c r="S19" s="274" t="e">
        <f t="shared" si="3"/>
        <v>#VALUE!</v>
      </c>
      <c r="T19" s="276">
        <f>IF(AN19="旧定額",VLOOKUP(H19,[0]!旧償却率,2,0),IF(ISERROR(VLOOKUP(H19,[0]!新償却率,2,0)),"",IF(U19=0,"",VLOOKUP(H19,[0]!新償却率,2,0))))</f>
      </c>
      <c r="U19" s="274">
        <f t="shared" si="36"/>
        <v>0</v>
      </c>
      <c r="V19" s="274">
        <f aca="true" t="shared" si="76" ref="V19:V37">IF(OR(U19&lt;9,ISERROR(U19)),"",IF(AN19="旧定額",G19*0.9*T19*U19/12,G19*T19*U19/12))</f>
      </c>
      <c r="W19" s="274">
        <f t="shared" si="5"/>
        <v>0</v>
      </c>
      <c r="X19" s="378">
        <f>IF(AN19="旧定額",T19,VLOOKUP(H19,テーブル!$C$8:$D$106,2,0))</f>
        <v>0.2</v>
      </c>
      <c r="Y19" s="274">
        <f t="shared" si="6"/>
        <v>46130</v>
      </c>
      <c r="Z19" s="274"/>
      <c r="AA19" s="276">
        <f>IF(ISERROR(VLOOKUP(I19,テーブル!$S$8:$W$106,2,0)),"",IF(AN19="旧定額",VLOOKUP(I19,テーブル!$S$8:$W$106,2,0),VLOOKUP(I19,テーブル!$C$8:$D$106,2,0)))</f>
        <v>0.143</v>
      </c>
      <c r="AB19" s="236" t="str">
        <f t="shared" si="37"/>
        <v>　5年</v>
      </c>
      <c r="AC19" s="232"/>
      <c r="AD19" s="232"/>
      <c r="AE19" s="232"/>
      <c r="AF19" s="232"/>
      <c r="AG19" s="232"/>
      <c r="AH19" s="232"/>
      <c r="AI19" s="270"/>
      <c r="AJ19" s="270"/>
      <c r="AK19" s="270"/>
      <c r="AL19" s="270"/>
      <c r="AM19" s="233"/>
      <c r="AN19" s="248" t="str">
        <f t="shared" si="7"/>
        <v>新定額</v>
      </c>
      <c r="AO19" s="248">
        <f t="shared" si="8"/>
      </c>
      <c r="AP19" s="248">
        <f>IF(AO19&lt;&gt;"",INT(G19-VLOOKUP(H19,テーブル!$S$8:$W$106,4,0)*AO19*G19/1000000),"")</f>
      </c>
      <c r="AQ19" s="248">
        <f t="shared" si="9"/>
      </c>
      <c r="AR19" s="248">
        <f t="shared" si="10"/>
      </c>
      <c r="AS19" s="248">
        <f>IF(AR19&lt;0,"",IF(AR19&lt;&gt;"",VLOOKUP(H19,テーブル!$Q$8:$W$106,2,0),""))</f>
      </c>
      <c r="AT19" s="248">
        <f>IF(AS19&lt;&gt;"",G19-VLOOKUP(AS19,テーブル!$S$8:$W$106,4,0)*AR19*G19/1000000,G19)</f>
        <v>230650</v>
      </c>
      <c r="AU19" s="268" t="e">
        <f>IF(AS19&lt;&gt;"",AT19-VLOOKUP(H19,テーブル!$S$8:$W$106,4,0)*(AO19-AR19)*G19/1000000,AT19-VLOOKUP(H19,テーブル!$S$8:$W$106,4,0)*(AO19)*G19/1000000)</f>
        <v>#VALUE!</v>
      </c>
      <c r="AV19" s="284">
        <f t="shared" si="61"/>
        <v>0</v>
      </c>
      <c r="AW19" s="249">
        <f t="shared" si="11"/>
        <v>41913</v>
      </c>
      <c r="AX19" s="248">
        <f t="shared" si="63"/>
      </c>
      <c r="AY19" s="248">
        <f>IF(AV19&lt;&gt;0,IF(AV19&gt;INT(G19*0.05),(VLOOKUP(H19,テーブル!$S$2:T112,2,0)*G19*0.9),IF(AV19=INT(G19*0.05),INT((AV19-1)/5),0)),"")</f>
      </c>
      <c r="AZ19" s="248">
        <f t="shared" si="12"/>
      </c>
      <c r="BA19" s="248">
        <f t="shared" si="65"/>
      </c>
      <c r="BB19" s="248">
        <f t="shared" si="66"/>
      </c>
      <c r="BC19" s="248">
        <f t="shared" si="15"/>
      </c>
      <c r="BD19" s="261">
        <f t="shared" si="0"/>
      </c>
      <c r="BE19" s="248">
        <f t="shared" si="67"/>
      </c>
      <c r="BF19" s="248">
        <f t="shared" si="68"/>
      </c>
      <c r="BG19" s="248">
        <f t="shared" si="18"/>
      </c>
      <c r="BH19" s="248">
        <f t="shared" si="69"/>
      </c>
      <c r="BI19" s="248">
        <f t="shared" si="38"/>
      </c>
      <c r="BJ19" s="248">
        <f t="shared" si="70"/>
      </c>
      <c r="BK19" s="263">
        <f t="shared" si="75"/>
      </c>
      <c r="BL19" s="251">
        <f t="shared" si="39"/>
      </c>
      <c r="BM19" s="248">
        <f t="shared" si="21"/>
        <v>2014010</v>
      </c>
      <c r="BN19" s="379">
        <f t="shared" si="22"/>
        <v>-69</v>
      </c>
      <c r="BO19" s="380">
        <f t="shared" si="23"/>
        <v>0</v>
      </c>
      <c r="BP19" s="248">
        <f t="shared" si="57"/>
        <v>230650</v>
      </c>
      <c r="BQ19" s="248">
        <f t="shared" si="24"/>
        <v>2748.5791666666664</v>
      </c>
      <c r="BR19" s="248">
        <f t="shared" si="62"/>
        <v>63</v>
      </c>
      <c r="BS19" s="392">
        <f t="shared" si="40"/>
        <v>90472.46250000002</v>
      </c>
      <c r="BT19" s="392" t="str">
        <f t="shared" si="41"/>
        <v>通常回</v>
      </c>
      <c r="BU19" s="338">
        <f t="shared" si="71"/>
        <v>32982.95</v>
      </c>
      <c r="BV19" s="251">
        <f t="shared" si="72"/>
        <v>57489.512500000026</v>
      </c>
      <c r="BW19" s="339">
        <f t="shared" si="73"/>
        <v>32982.95</v>
      </c>
      <c r="BX19" s="338">
        <f t="shared" si="74"/>
        <v>57489.512500000026</v>
      </c>
      <c r="BY19" s="338">
        <f t="shared" si="42"/>
        <v>32982.95</v>
      </c>
      <c r="BZ19" s="341">
        <f t="shared" si="43"/>
        <v>32982.95</v>
      </c>
      <c r="CA19" s="346">
        <f t="shared" si="44"/>
        <v>57489.512500000026</v>
      </c>
      <c r="CB19" s="251">
        <f t="shared" si="45"/>
        <v>57489.512500000026</v>
      </c>
      <c r="CC19" s="248"/>
      <c r="CD19" s="233"/>
      <c r="CE19" s="233"/>
      <c r="CF19" s="233"/>
      <c r="CG19" s="233"/>
      <c r="CH19" s="233"/>
      <c r="CI19" s="233"/>
      <c r="CJ19" s="233"/>
      <c r="CK19" s="233"/>
      <c r="CL19" s="233"/>
      <c r="CM19" s="233"/>
      <c r="CN19" s="120"/>
      <c r="CO19" s="70">
        <v>13</v>
      </c>
      <c r="CP19" s="74" t="str">
        <f t="shared" si="46"/>
        <v>キャリアDCQ18</v>
      </c>
      <c r="CQ19" s="82">
        <f t="shared" si="47"/>
      </c>
      <c r="CR19" s="83" t="str">
        <f t="shared" si="48"/>
        <v>H26</v>
      </c>
      <c r="CS19" s="83">
        <f t="shared" si="49"/>
        <v>10</v>
      </c>
      <c r="CT19" s="86">
        <f t="shared" si="50"/>
      </c>
      <c r="CU19" s="85">
        <f t="shared" si="51"/>
        <v>230650</v>
      </c>
      <c r="CV19" s="85">
        <f t="shared" si="29"/>
        <v>230650</v>
      </c>
      <c r="CW19" s="229" t="str">
        <f t="shared" si="52"/>
        <v>新定額</v>
      </c>
      <c r="CX19" s="302">
        <f t="shared" si="58"/>
        <v>7</v>
      </c>
      <c r="CY19" s="340">
        <f t="shared" si="30"/>
        <v>0.143</v>
      </c>
      <c r="CZ19" s="79">
        <f t="shared" si="53"/>
        <v>12</v>
      </c>
      <c r="DA19" s="80" t="str">
        <f t="shared" si="54"/>
        <v>/12</v>
      </c>
      <c r="DB19" s="343">
        <f t="shared" si="59"/>
        <v>32983</v>
      </c>
      <c r="DC19" s="87" t="str">
        <f t="shared" si="31"/>
        <v>100%</v>
      </c>
      <c r="DD19" s="85">
        <f t="shared" si="64"/>
        <v>32983</v>
      </c>
      <c r="DE19" s="343">
        <f t="shared" si="60"/>
        <v>57490</v>
      </c>
      <c r="DF19" s="306" t="str">
        <f t="shared" si="32"/>
        <v>　5年</v>
      </c>
      <c r="DG19" s="363"/>
      <c r="DH19" s="388"/>
      <c r="DI19" s="383"/>
      <c r="DJ19" s="383"/>
      <c r="DO19" s="120">
        <v>19</v>
      </c>
      <c r="DP19" s="120" t="s">
        <v>117</v>
      </c>
      <c r="DR19" s="120">
        <v>1944</v>
      </c>
    </row>
    <row r="20" spans="1:122" ht="15" customHeight="1">
      <c r="A20" s="290">
        <v>14</v>
      </c>
      <c r="B20" s="211" t="s">
        <v>632</v>
      </c>
      <c r="C20" s="212"/>
      <c r="D20" s="213"/>
      <c r="E20" s="214" t="s">
        <v>399</v>
      </c>
      <c r="F20" s="214">
        <v>10</v>
      </c>
      <c r="G20" s="215">
        <v>5250000</v>
      </c>
      <c r="H20" s="216">
        <v>8</v>
      </c>
      <c r="I20" s="216">
        <v>7</v>
      </c>
      <c r="J20" s="217"/>
      <c r="K20" s="218"/>
      <c r="L20" s="218">
        <f t="shared" si="33"/>
      </c>
      <c r="M20" s="191">
        <f t="shared" si="2"/>
      </c>
      <c r="N20" s="194">
        <f t="shared" si="55"/>
        <v>52499</v>
      </c>
      <c r="O20" s="291">
        <f t="shared" si="56"/>
        <v>1</v>
      </c>
      <c r="P20" s="286">
        <f>IF(ISERROR(IF(AND(C20="◎",YEAR(AW20)&lt;1999),VLOOKUP(AS20,テーブル!$S$8:$W$106,2,0),"")),"",IF(AND(C20="◎",YEAR(AW20)&lt;1999),VLOOKUP(AS20,テーブル!$S$8:$W$106,2,0),""))</f>
      </c>
      <c r="Q20" s="276">
        <f t="shared" si="34"/>
        <v>0.125</v>
      </c>
      <c r="R20" s="278">
        <f t="shared" si="35"/>
        <v>0</v>
      </c>
      <c r="S20" s="274">
        <f t="shared" si="3"/>
        <v>0</v>
      </c>
      <c r="T20" s="276">
        <f>IF(AN20="旧定額",VLOOKUP(H20,[0]!旧償却率,2,0),IF(ISERROR(VLOOKUP(H20,[0]!新償却率,2,0)),"",IF(U20=0,"",VLOOKUP(H20,[0]!新償却率,2,0))))</f>
        <v>0.125</v>
      </c>
      <c r="U20" s="274">
        <f t="shared" si="36"/>
        <v>15</v>
      </c>
      <c r="V20" s="274">
        <f t="shared" si="76"/>
        <v>738281.25</v>
      </c>
      <c r="W20" s="274">
        <f t="shared" si="5"/>
        <v>738281.25</v>
      </c>
      <c r="X20" s="378">
        <f>IF(AN20="旧定額",T20,VLOOKUP(H20,テーブル!$C$8:$D$106,2,0))</f>
        <v>0.125</v>
      </c>
      <c r="Y20" s="274">
        <f t="shared" si="6"/>
        <v>590625</v>
      </c>
      <c r="Z20" s="274"/>
      <c r="AA20" s="276">
        <f>IF(ISERROR(VLOOKUP(I20,テーブル!$S$8:$W$106,2,0)),"",IF(AN20="旧定額",VLOOKUP(I20,テーブル!$S$8:$W$106,2,0),VLOOKUP(I20,テーブル!$C$8:$D$106,2,0)))</f>
        <v>0.142</v>
      </c>
      <c r="AB20" s="236" t="str">
        <f t="shared" si="37"/>
        <v>均等最終　8年</v>
      </c>
      <c r="AC20" s="232"/>
      <c r="AD20" s="232"/>
      <c r="AE20" s="232"/>
      <c r="AF20" s="232"/>
      <c r="AG20" s="232"/>
      <c r="AH20" s="232"/>
      <c r="AI20" s="270"/>
      <c r="AJ20" s="270"/>
      <c r="AK20" s="270"/>
      <c r="AL20" s="270"/>
      <c r="AM20" s="233"/>
      <c r="AN20" s="248" t="str">
        <f t="shared" si="7"/>
        <v>旧定額</v>
      </c>
      <c r="AO20" s="248">
        <f t="shared" si="8"/>
        <v>15</v>
      </c>
      <c r="AP20" s="248">
        <f>IF(AO20&lt;&gt;"",INT(G20-VLOOKUP(H20,テーブル!$S$8:$W$106,4,0)*AO20*G20/1000000),"")</f>
        <v>4511718</v>
      </c>
      <c r="AQ20" s="248">
        <f t="shared" si="9"/>
        <v>4511718</v>
      </c>
      <c r="AR20" s="248">
        <f t="shared" si="10"/>
      </c>
      <c r="AS20" s="248">
        <f>IF(AR20&lt;0,"",IF(AR20&lt;&gt;"",VLOOKUP(H20,テーブル!$Q$8:$W$106,2,0),""))</f>
      </c>
      <c r="AT20" s="248">
        <f>IF(AS20&lt;&gt;"",G20-VLOOKUP(AS20,テーブル!$S$8:$W$106,4,0)*AR20*G20/1000000,G20)</f>
        <v>5250000</v>
      </c>
      <c r="AU20" s="268">
        <f>IF(AS20&lt;&gt;"",AT20-VLOOKUP(H20,テーブル!$S$8:$W$106,4,0)*(AO20-AR20)*G20/1000000,AT20-VLOOKUP(H20,テーブル!$S$8:$W$106,4,0)*(AO20)*G20/1000000)</f>
        <v>4511718.75</v>
      </c>
      <c r="AV20" s="284">
        <f t="shared" si="61"/>
        <v>4511718</v>
      </c>
      <c r="AW20" s="249">
        <f t="shared" si="11"/>
        <v>38991</v>
      </c>
      <c r="AX20" s="248" t="str">
        <f t="shared" si="63"/>
        <v>通常償却</v>
      </c>
      <c r="AY20" s="248">
        <f>IF(AV20&lt;&gt;0,IF(AV20&gt;INT(G20*0.05),(VLOOKUP(H20,テーブル!$S$2:T113,2,0)*G20*0.9),IF(AV20=INT(G20*0.05),INT((AV20-1)/5),0)),"")</f>
        <v>590625</v>
      </c>
      <c r="AZ20" s="248">
        <f t="shared" si="12"/>
        <v>590625</v>
      </c>
      <c r="BA20" s="248">
        <f t="shared" si="65"/>
        <v>3921093</v>
      </c>
      <c r="BB20" s="248">
        <f t="shared" si="66"/>
        <v>132</v>
      </c>
      <c r="BC20" s="248">
        <f t="shared" si="15"/>
        <v>64.97696515469045</v>
      </c>
      <c r="BD20" s="261">
        <f t="shared" si="0"/>
        <v>670950</v>
      </c>
      <c r="BE20" s="248">
        <f t="shared" si="67"/>
        <v>2014</v>
      </c>
      <c r="BF20" s="248">
        <f t="shared" si="68"/>
        <v>566343</v>
      </c>
      <c r="BG20" s="248">
        <f t="shared" si="18"/>
        <v>303843</v>
      </c>
      <c r="BH20" s="248">
        <f t="shared" si="69"/>
        <v>2015</v>
      </c>
      <c r="BI20" s="248">
        <f t="shared" si="38"/>
        <v>2019</v>
      </c>
      <c r="BJ20" s="248" t="str">
        <f t="shared" si="70"/>
        <v>均等最終</v>
      </c>
      <c r="BK20" s="263">
        <f t="shared" si="75"/>
        <v>52499</v>
      </c>
      <c r="BL20" s="251">
        <f t="shared" si="39"/>
        <v>1</v>
      </c>
      <c r="BM20" s="248">
        <f t="shared" si="21"/>
        <v>2006010</v>
      </c>
      <c r="BN20" s="379">
        <f t="shared" si="22"/>
        <v>0</v>
      </c>
      <c r="BO20" s="380">
        <f t="shared" si="23"/>
        <v>0</v>
      </c>
      <c r="BP20" s="248">
        <f t="shared" si="57"/>
        <v>5250000</v>
      </c>
      <c r="BQ20" s="248">
        <f t="shared" si="24"/>
        <v>62562.5</v>
      </c>
      <c r="BR20" s="248">
        <f t="shared" si="62"/>
        <v>159</v>
      </c>
      <c r="BS20" s="392">
        <f t="shared" si="40"/>
        <v>-3946687.5</v>
      </c>
      <c r="BT20" s="392" t="str">
        <f t="shared" si="41"/>
        <v>終了</v>
      </c>
      <c r="BU20" s="338">
        <f t="shared" si="71"/>
        <v>0</v>
      </c>
      <c r="BV20" s="251">
        <f t="shared" si="72"/>
        <v>1</v>
      </c>
      <c r="BW20" s="339">
        <f t="shared" si="73"/>
        <v>52499</v>
      </c>
      <c r="BX20" s="338">
        <f t="shared" si="74"/>
        <v>1</v>
      </c>
      <c r="BY20" s="338">
        <f t="shared" si="42"/>
        <v>52499</v>
      </c>
      <c r="BZ20" s="341">
        <f t="shared" si="43"/>
        <v>52499</v>
      </c>
      <c r="CA20" s="346">
        <f t="shared" si="44"/>
        <v>1</v>
      </c>
      <c r="CB20" s="251">
        <f t="shared" si="45"/>
        <v>1</v>
      </c>
      <c r="CC20" s="248"/>
      <c r="CD20" s="233"/>
      <c r="CE20" s="233"/>
      <c r="CF20" s="233"/>
      <c r="CG20" s="233"/>
      <c r="CH20" s="233"/>
      <c r="CI20" s="233"/>
      <c r="CJ20" s="233"/>
      <c r="CK20" s="233"/>
      <c r="CL20" s="233"/>
      <c r="CM20" s="233"/>
      <c r="CN20" s="120"/>
      <c r="CO20" s="73">
        <v>14</v>
      </c>
      <c r="CP20" s="74" t="str">
        <f t="shared" si="46"/>
        <v>普通型コンバイン</v>
      </c>
      <c r="CQ20" s="82">
        <f t="shared" si="47"/>
      </c>
      <c r="CR20" s="83" t="str">
        <f t="shared" si="48"/>
        <v>H18</v>
      </c>
      <c r="CS20" s="83">
        <f t="shared" si="49"/>
        <v>10</v>
      </c>
      <c r="CT20" s="86">
        <f t="shared" si="50"/>
      </c>
      <c r="CU20" s="85">
        <f t="shared" si="51"/>
        <v>5250000</v>
      </c>
      <c r="CV20" s="85">
        <f t="shared" si="29"/>
        <v>4725000</v>
      </c>
      <c r="CW20" s="229" t="str">
        <f t="shared" si="52"/>
        <v>旧定額</v>
      </c>
      <c r="CX20" s="302">
        <f t="shared" si="58"/>
        <v>7</v>
      </c>
      <c r="CY20" s="340">
        <f t="shared" si="30"/>
        <v>0.142</v>
      </c>
      <c r="CZ20" s="79">
        <f t="shared" si="53"/>
        <v>12</v>
      </c>
      <c r="DA20" s="80" t="str">
        <f t="shared" si="54"/>
        <v>/12</v>
      </c>
      <c r="DB20" s="343">
        <f t="shared" si="59"/>
        <v>52499</v>
      </c>
      <c r="DC20" s="87" t="str">
        <f t="shared" si="31"/>
        <v>100%</v>
      </c>
      <c r="DD20" s="85">
        <f t="shared" si="64"/>
        <v>52499</v>
      </c>
      <c r="DE20" s="343">
        <f t="shared" si="60"/>
        <v>1</v>
      </c>
      <c r="DF20" s="306" t="str">
        <f t="shared" si="32"/>
        <v>均等最終　8年</v>
      </c>
      <c r="DG20" s="363"/>
      <c r="DH20" s="388"/>
      <c r="DI20" s="383"/>
      <c r="DJ20" s="383"/>
      <c r="DO20" s="120">
        <v>20</v>
      </c>
      <c r="DP20" s="120" t="s">
        <v>118</v>
      </c>
      <c r="DR20" s="120">
        <v>1945</v>
      </c>
    </row>
    <row r="21" spans="1:122" ht="13.5" customHeight="1">
      <c r="A21" s="292">
        <v>15</v>
      </c>
      <c r="B21" s="211" t="s">
        <v>633</v>
      </c>
      <c r="C21" s="212"/>
      <c r="D21" s="213"/>
      <c r="E21" s="214" t="s">
        <v>648</v>
      </c>
      <c r="F21" s="214">
        <v>8</v>
      </c>
      <c r="G21" s="215">
        <v>250000</v>
      </c>
      <c r="H21" s="216">
        <v>8</v>
      </c>
      <c r="I21" s="216">
        <v>7</v>
      </c>
      <c r="J21" s="217"/>
      <c r="K21" s="218"/>
      <c r="L21" s="218">
        <f t="shared" si="33"/>
      </c>
      <c r="M21" s="191">
        <f t="shared" si="2"/>
      </c>
      <c r="N21" s="194">
        <f>IF(ISERROR(BZ21),"",BZ21)</f>
        <v>0</v>
      </c>
      <c r="O21" s="291">
        <f t="shared" si="56"/>
        <v>1</v>
      </c>
      <c r="P21" s="286">
        <f>IF(ISERROR(IF(AND(C21="◎",YEAR(AW21)&lt;1999),VLOOKUP(AS21,テーブル!$S$8:$W$106,2,0),"")),"",IF(AND(C21="◎",YEAR(AW21)&lt;1999),VLOOKUP(AS21,テーブル!$S$8:$W$106,2,0),""))</f>
      </c>
      <c r="Q21" s="276">
        <f>IF(P21&lt;&gt;"",P21,T21)</f>
        <v>0.125</v>
      </c>
      <c r="R21" s="278">
        <f>IF((YEAR($R$4)-YEAR(AW21))*12+MONTH($R$4)-MONTH(AW21)&lt;0,0,(YEAR($R$4)-YEAR(AW21))*12+MONTH($R$4)-MONTH(AW21)+1)</f>
        <v>89</v>
      </c>
      <c r="S21" s="274">
        <f>IF(ISERROR(R21),0,G21*0.9*Q21*R21/12)</f>
        <v>208593.75</v>
      </c>
      <c r="T21" s="276">
        <f>IF(AN21="旧定額",VLOOKUP(H21,[0]!旧償却率,2,0),IF(ISERROR(VLOOKUP(H21,[0]!新償却率,2,0)),"",IF(U21=0,"",VLOOKUP(H21,[0]!新償却率,2,0))))</f>
        <v>0.125</v>
      </c>
      <c r="U21" s="274">
        <f>IF((YEAR($U$4)-YEAR(AW21))*12+MONTH($U$4)-MONTH(AW21)&lt;0,0,((YEAR($U$4)-YEAR(AW21))*12+MONTH($U$4)-MONTH(AW21))-R21+1)</f>
        <v>108</v>
      </c>
      <c r="V21" s="274">
        <f>IF(OR(U21&lt;9,ISERROR(U21)),"",IF(AN21="旧定額",G21*0.9*T21*U21/12,G21*T21*U21/12))</f>
        <v>253125</v>
      </c>
      <c r="W21" s="274">
        <f>IF(ISERROR(IF((G21*0.05)&gt;(G21-S21-V21),G21*0.05,S21+V21)),0,IF((G21*0.05)&gt;(G21-S21-V21),G21*0.95,S21+V21))</f>
        <v>237500</v>
      </c>
      <c r="X21" s="378">
        <f>IF(AN21="旧定額",T21,VLOOKUP(H21,テーブル!$C$8:$D$106,2,0))</f>
        <v>0.125</v>
      </c>
      <c r="Y21" s="274">
        <f>IF(X21="","",IF(AN21="旧定額",G21*0.9*X21,G21*X21))</f>
        <v>28125</v>
      </c>
      <c r="Z21" s="274"/>
      <c r="AA21" s="276">
        <f>IF(ISERROR(VLOOKUP(I21,テーブル!$S$8:$W$106,2,0)),"",IF(AN21="旧定額",VLOOKUP(I21,テーブル!$S$8:$W$106,2,0),VLOOKUP(I21,テーブル!$C$8:$D$106,2,0)))</f>
        <v>0.142</v>
      </c>
      <c r="AB21" s="236" t="str">
        <f>DF21</f>
        <v>終了　8年</v>
      </c>
      <c r="AC21" s="232"/>
      <c r="AD21" s="232"/>
      <c r="AE21" s="232"/>
      <c r="AF21" s="232"/>
      <c r="AG21" s="232"/>
      <c r="AH21" s="232"/>
      <c r="AI21" s="270"/>
      <c r="AJ21" s="270"/>
      <c r="AK21" s="270"/>
      <c r="AL21" s="270"/>
      <c r="AM21" s="233"/>
      <c r="AN21" s="248" t="str">
        <f>IF(B21&lt;&gt;"",IF(AW21&lt;39173,"旧定額","新定額"),"")</f>
        <v>旧定額</v>
      </c>
      <c r="AO21" s="248">
        <f>IF(AN21="旧定額",(YEAR($AO$4)-YEAR(AW21))*12+MONTH($AO$4)-F21+1,"")</f>
        <v>197</v>
      </c>
      <c r="AP21" s="248">
        <f>IF(AO21&lt;&gt;"",INT(G21-VLOOKUP(H21,テーブル!$S$8:$W$106,4,0)*AO21*G21/1000000),"")</f>
        <v>-211719</v>
      </c>
      <c r="AQ21" s="248">
        <f>IF(AP21&lt;=INT(G21*0.05),INT(G21*0.05),AP21)</f>
        <v>12500</v>
      </c>
      <c r="AR21" s="248">
        <f>IF(AND(AN21="旧定額",C21="◎"),(YEAR($AR$4)-YEAR(AW21))*12+MONTH($AR$4)-F21+1,"")</f>
      </c>
      <c r="AS21" s="248">
        <f>IF(AR21&lt;0,"",IF(AR21&lt;&gt;"",VLOOKUP(H21,テーブル!$Q$8:$W$106,2,0),""))</f>
      </c>
      <c r="AT21" s="248">
        <f>IF(AS21&lt;&gt;"",G21-VLOOKUP(AS21,テーブル!$S$8:$W$106,4,0)*AR21*G21/1000000,G21)</f>
        <v>250000</v>
      </c>
      <c r="AU21" s="268">
        <f>IF(AS21&lt;&gt;"",AT21-VLOOKUP(H21,テーブル!$S$8:$W$106,4,0)*(AO21-AR21)*G21/1000000,AT21-VLOOKUP(H21,テーブル!$S$8:$W$106,4,0)*(AO21)*G21/1000000)</f>
        <v>-211718.75</v>
      </c>
      <c r="AV21" s="284">
        <f>IF(OR(U21&lt;9,ISERROR(U21)),0,INT(G21-W21))</f>
        <v>12500</v>
      </c>
      <c r="AW21" s="249">
        <f t="shared" si="11"/>
        <v>33451</v>
      </c>
      <c r="AX21" s="248" t="str">
        <f>IF(AV21&lt;&gt;0,IF(AV21=INT(G21*0.05),"均等償却",IF((AV21-AY21)&lt;INT(G21*0.05),"通常最終","通常償却")),"")</f>
        <v>均等償却</v>
      </c>
      <c r="AY21" s="248">
        <f>IF(AV21&lt;&gt;0,IF(AV21&gt;INT(G21*0.05),(VLOOKUP(H21,テーブル!$S$2:T114,2,0)*G21*0.9),IF(AV21=INT(G21*0.05),INT((AV21-1)/5),0)),"")</f>
        <v>2499</v>
      </c>
      <c r="AZ21" s="248">
        <f>IF(AX21="通常最終",AV21-INT(G21*0.05),AY21)</f>
        <v>2499</v>
      </c>
      <c r="BA21" s="248">
        <f>IF(AZ21&lt;&gt;"",AV21-AZ21,"")</f>
        <v>10001</v>
      </c>
      <c r="BB21" s="248">
        <f>IF(BA21&lt;&gt;"",IF(K21&lt;&gt;"",K21+($BE$3-1)*12,$BE$3*12),"")</f>
        <v>132</v>
      </c>
      <c r="BC21" s="248">
        <f t="shared" si="15"/>
        <v>-0.9321148825065274</v>
      </c>
      <c r="BD21" s="261">
        <f t="shared" si="0"/>
        <v>31950</v>
      </c>
      <c r="BE21" s="248">
        <f>IF(BC21&lt;&gt;"",IF(BC21&gt;0,2008+ROUNDUP(BC21/12,0),IF(AX21="均等償却",2008-1,IF(AX21="通常最終",2008))),"")</f>
        <v>2007</v>
      </c>
      <c r="BF21" s="248">
        <f>IF(BE21&lt;&gt;"",BA21-BD21*(BE21-2009),"")</f>
        <v>73901</v>
      </c>
      <c r="BG21" s="248">
        <f>IF(BF21&lt;&gt;"",BF21-INT(G21*0.05),"")</f>
        <v>61401</v>
      </c>
      <c r="BH21" s="248">
        <f>IF(AX21&lt;&gt;"",BE21+1,"")</f>
        <v>2008</v>
      </c>
      <c r="BI21" s="248">
        <f t="shared" si="38"/>
        <v>2012</v>
      </c>
      <c r="BJ21" s="248" t="str">
        <f>IF(BE21&lt;&gt;"",IF($BC$3&lt;BE21,"通常償却",IF($BC$3=BE21,"通常最終",IF($BC$3&lt;BI21,"均等償却",IF($BC$3=BI21,"均等最終","終了")))),"")</f>
        <v>終了</v>
      </c>
      <c r="BK21" s="263">
        <f>(IF(BE21&lt;&gt;"",IF($BC$3&lt;BE21,BD21,IF($BC$3=BE21,BG21,IF($BC$3&lt;BI21,((G21*0.05-1)/5),IF($BC$3=BI21,(G21*0.05-1)-4*((G21*0.05)/5),0)))),""))</f>
        <v>0</v>
      </c>
      <c r="BL21" s="251">
        <f t="shared" si="39"/>
        <v>1</v>
      </c>
      <c r="BM21" s="248">
        <f t="shared" si="21"/>
        <v>199108</v>
      </c>
      <c r="BN21" s="379">
        <f t="shared" si="22"/>
        <v>0</v>
      </c>
      <c r="BO21" s="380">
        <f t="shared" si="23"/>
        <v>0</v>
      </c>
      <c r="BP21" s="248">
        <f>IF(BN21&lt;&gt;"",IF(BN21&gt;0,G21-BO21,IF(BO21=0,G21,G21)),"")</f>
        <v>250000</v>
      </c>
      <c r="BQ21" s="248">
        <f t="shared" si="24"/>
        <v>2979.1666666666665</v>
      </c>
      <c r="BR21" s="248">
        <f>IF(BN21&lt;&gt;"",IF(BN21&gt;0,12*(LEFT($BU$3,4)-2008),IF(BN21&lt;=0,12*(LEFT($BU$3,4)-LEFT(BM21,4))+(13-RIGHT(BM21,2)),"")),"")</f>
        <v>341</v>
      </c>
      <c r="BS21" s="392">
        <f t="shared" si="40"/>
        <v>-730145.8333333333</v>
      </c>
      <c r="BT21" s="392" t="str">
        <f t="shared" si="41"/>
        <v>終了</v>
      </c>
      <c r="BU21" s="338">
        <f>IF(BT21="終了",0,IF(BT21="通常回",BQ21*12,IF(BT21="最終回",BS21-1,IF(BT21="初回",BR21*BQ21,""))))</f>
        <v>0</v>
      </c>
      <c r="BV21" s="251">
        <f>IF(BU21&lt;&gt;"",IF(BU21=0,1,BS21-BU21),"")</f>
        <v>1</v>
      </c>
      <c r="BW21" s="339">
        <f>IF(AN21&lt;&gt;"新定額",BK21,BU21)</f>
        <v>0</v>
      </c>
      <c r="BX21" s="338">
        <f>IF(AN21&lt;&gt;"新定額",BL21,BV21)</f>
        <v>1</v>
      </c>
      <c r="BY21" s="338">
        <f>IF(BJ21="均等最終",(IF(K21&lt;&gt;"",(BW21*K21/12),BW21)),IF(K21&lt;&gt;"",(BW21*K21/12),BW21))</f>
        <v>0</v>
      </c>
      <c r="BZ21" s="341">
        <f>IF(OR(J21&lt;&gt;"",J21=100%),(BY21*J21),BY21)</f>
        <v>0</v>
      </c>
      <c r="CA21" s="346">
        <f>IF(K21&lt;&gt;"",BX21+BW21-BY21,BX21)</f>
        <v>1</v>
      </c>
      <c r="CB21" s="251">
        <f t="shared" si="45"/>
        <v>1</v>
      </c>
      <c r="CC21" s="248"/>
      <c r="CD21" s="233"/>
      <c r="CE21" s="233"/>
      <c r="CF21" s="233"/>
      <c r="CG21" s="233"/>
      <c r="CH21" s="233"/>
      <c r="CI21" s="233"/>
      <c r="CJ21" s="233"/>
      <c r="CK21" s="233"/>
      <c r="CL21" s="233"/>
      <c r="CM21" s="233"/>
      <c r="CN21" s="120"/>
      <c r="CO21" s="70">
        <v>15</v>
      </c>
      <c r="CP21" s="74" t="str">
        <f t="shared" si="46"/>
        <v>もみコンテナ</v>
      </c>
      <c r="CQ21" s="82">
        <f t="shared" si="47"/>
      </c>
      <c r="CR21" s="83" t="str">
        <f t="shared" si="48"/>
        <v>H3</v>
      </c>
      <c r="CS21" s="83">
        <f t="shared" si="49"/>
        <v>8</v>
      </c>
      <c r="CT21" s="86">
        <f t="shared" si="50"/>
      </c>
      <c r="CU21" s="85">
        <f t="shared" si="51"/>
        <v>250000</v>
      </c>
      <c r="CV21" s="85">
        <f t="shared" si="29"/>
        <v>225000</v>
      </c>
      <c r="CW21" s="229" t="str">
        <f t="shared" si="52"/>
        <v>旧定額</v>
      </c>
      <c r="CX21" s="302">
        <f t="shared" si="58"/>
        <v>7</v>
      </c>
      <c r="CY21" s="340">
        <f t="shared" si="30"/>
        <v>0.142</v>
      </c>
      <c r="CZ21" s="79">
        <f t="shared" si="53"/>
        <v>12</v>
      </c>
      <c r="DA21" s="80" t="str">
        <f t="shared" si="54"/>
        <v>/12</v>
      </c>
      <c r="DB21" s="343">
        <f t="shared" si="59"/>
        <v>0</v>
      </c>
      <c r="DC21" s="87" t="str">
        <f t="shared" si="31"/>
        <v>100%</v>
      </c>
      <c r="DD21" s="85">
        <f t="shared" si="64"/>
        <v>0</v>
      </c>
      <c r="DE21" s="343">
        <f t="shared" si="60"/>
        <v>1</v>
      </c>
      <c r="DF21" s="306" t="str">
        <f t="shared" si="32"/>
        <v>終了　8年</v>
      </c>
      <c r="DG21" s="363"/>
      <c r="DH21" s="388"/>
      <c r="DI21" s="383"/>
      <c r="DJ21" s="383"/>
      <c r="DO21" s="120">
        <v>21</v>
      </c>
      <c r="DP21" s="120" t="s">
        <v>119</v>
      </c>
      <c r="DR21" s="120">
        <v>1946</v>
      </c>
    </row>
    <row r="22" spans="1:122" ht="13.5" customHeight="1">
      <c r="A22" s="290">
        <v>16</v>
      </c>
      <c r="B22" s="211" t="s">
        <v>634</v>
      </c>
      <c r="C22" s="212"/>
      <c r="D22" s="213"/>
      <c r="E22" s="214" t="s">
        <v>398</v>
      </c>
      <c r="F22" s="214">
        <v>4</v>
      </c>
      <c r="G22" s="215">
        <v>600000</v>
      </c>
      <c r="H22" s="216">
        <v>8</v>
      </c>
      <c r="I22" s="216">
        <v>7</v>
      </c>
      <c r="J22" s="217"/>
      <c r="K22" s="218"/>
      <c r="L22" s="218">
        <f t="shared" si="33"/>
      </c>
      <c r="M22" s="191">
        <f t="shared" si="2"/>
      </c>
      <c r="N22" s="194">
        <f t="shared" si="55"/>
        <v>0</v>
      </c>
      <c r="O22" s="291">
        <f t="shared" si="56"/>
        <v>1</v>
      </c>
      <c r="P22" s="286">
        <f>IF(ISERROR(IF(AND(C22="◎",YEAR(AW22)&lt;1999),VLOOKUP(AS22,テーブル!$S$8:$W$106,2,0),"")),"",IF(AND(C22="◎",YEAR(AW22)&lt;1999),VLOOKUP(AS22,テーブル!$S$8:$W$106,2,0),""))</f>
      </c>
      <c r="Q22" s="276">
        <f t="shared" si="34"/>
        <v>0.125</v>
      </c>
      <c r="R22" s="278">
        <f t="shared" si="35"/>
        <v>0</v>
      </c>
      <c r="S22" s="274">
        <f t="shared" si="3"/>
        <v>0</v>
      </c>
      <c r="T22" s="276">
        <f>IF(AN22="旧定額",VLOOKUP(H22,[0]!旧償却率,2,0),IF(ISERROR(VLOOKUP(H22,[0]!新償却率,2,0)),"",IF(U22=0,"",VLOOKUP(H22,[0]!新償却率,2,0))))</f>
        <v>0.125</v>
      </c>
      <c r="U22" s="274">
        <f t="shared" si="36"/>
        <v>33</v>
      </c>
      <c r="V22" s="274">
        <f t="shared" si="76"/>
        <v>185625</v>
      </c>
      <c r="W22" s="274">
        <f t="shared" si="5"/>
        <v>185625</v>
      </c>
      <c r="X22" s="378">
        <f>IF(AN22="旧定額",T22,VLOOKUP(H22,テーブル!$C$8:$D$106,2,0))</f>
        <v>0.125</v>
      </c>
      <c r="Y22" s="274">
        <f t="shared" si="6"/>
        <v>67500</v>
      </c>
      <c r="Z22" s="274"/>
      <c r="AA22" s="276">
        <f>IF(ISERROR(VLOOKUP(I22,テーブル!$S$8:$W$106,2,0)),"",IF(AN22="旧定額",VLOOKUP(I22,テーブル!$S$8:$W$106,2,0),VLOOKUP(I22,テーブル!$C$8:$D$106,2,0)))</f>
        <v>0.142</v>
      </c>
      <c r="AB22" s="236" t="str">
        <f t="shared" si="37"/>
        <v>終了　8年</v>
      </c>
      <c r="AC22" s="232"/>
      <c r="AD22" s="232"/>
      <c r="AE22" s="232"/>
      <c r="AF22" s="232"/>
      <c r="AG22" s="232"/>
      <c r="AH22" s="232"/>
      <c r="AI22" s="270"/>
      <c r="AJ22" s="270"/>
      <c r="AK22" s="270"/>
      <c r="AL22" s="270"/>
      <c r="AM22" s="233"/>
      <c r="AN22" s="248" t="str">
        <f t="shared" si="7"/>
        <v>旧定額</v>
      </c>
      <c r="AO22" s="248">
        <f t="shared" si="8"/>
        <v>33</v>
      </c>
      <c r="AP22" s="248">
        <f>IF(AO22&lt;&gt;"",INT(G22-VLOOKUP(H22,テーブル!$S$8:$W$106,4,0)*AO22*G22/1000000),"")</f>
        <v>414375</v>
      </c>
      <c r="AQ22" s="248">
        <f t="shared" si="9"/>
        <v>414375</v>
      </c>
      <c r="AR22" s="248">
        <f t="shared" si="10"/>
      </c>
      <c r="AS22" s="248">
        <f>IF(AR22&lt;0,"",IF(AR22&lt;&gt;"",VLOOKUP(H22,テーブル!$Q$8:$W$106,2,0),""))</f>
      </c>
      <c r="AT22" s="248">
        <f>IF(AS22&lt;&gt;"",G22-VLOOKUP(AS22,テーブル!$S$8:$W$106,4,0)*AR22*G22/1000000,G22)</f>
        <v>600000</v>
      </c>
      <c r="AU22" s="268">
        <f>IF(AS22&lt;&gt;"",AT22-VLOOKUP(H22,テーブル!$S$8:$W$106,4,0)*(AO22-AR22)*G22/1000000,AT22-VLOOKUP(H22,テーブル!$S$8:$W$106,4,0)*(AO22)*G22/1000000)</f>
        <v>414375</v>
      </c>
      <c r="AV22" s="284">
        <f t="shared" si="61"/>
        <v>414375</v>
      </c>
      <c r="AW22" s="249">
        <f t="shared" si="11"/>
        <v>38443</v>
      </c>
      <c r="AX22" s="248" t="str">
        <f t="shared" si="63"/>
        <v>通常償却</v>
      </c>
      <c r="AY22" s="248">
        <f>IF(AV22&lt;&gt;0,IF(AV22&gt;INT(G22*0.05),(VLOOKUP(H22,テーブル!$S$2:T115,2,0)*G22*0.9),IF(AV22=INT(G22*0.05),INT((AV22-1)/5),0)),"")</f>
        <v>67500</v>
      </c>
      <c r="AZ22" s="248">
        <f t="shared" si="12"/>
        <v>67500</v>
      </c>
      <c r="BA22" s="248">
        <f t="shared" si="65"/>
        <v>346875</v>
      </c>
      <c r="BB22" s="248">
        <f t="shared" si="66"/>
        <v>132</v>
      </c>
      <c r="BC22" s="248">
        <f t="shared" si="15"/>
        <v>49.24242424242424</v>
      </c>
      <c r="BD22" s="261">
        <f t="shared" si="0"/>
        <v>76680</v>
      </c>
      <c r="BE22" s="248">
        <f t="shared" si="67"/>
        <v>2013</v>
      </c>
      <c r="BF22" s="248">
        <f t="shared" si="68"/>
        <v>40155</v>
      </c>
      <c r="BG22" s="248">
        <f t="shared" si="18"/>
        <v>10155</v>
      </c>
      <c r="BH22" s="248">
        <f t="shared" si="69"/>
        <v>2014</v>
      </c>
      <c r="BI22" s="248">
        <f t="shared" si="38"/>
        <v>2018</v>
      </c>
      <c r="BJ22" s="248" t="str">
        <f t="shared" si="70"/>
        <v>終了</v>
      </c>
      <c r="BK22" s="263">
        <f t="shared" si="75"/>
        <v>0</v>
      </c>
      <c r="BL22" s="251">
        <f t="shared" si="39"/>
        <v>1</v>
      </c>
      <c r="BM22" s="248">
        <f t="shared" si="21"/>
        <v>200504</v>
      </c>
      <c r="BN22" s="379">
        <f aca="true" t="shared" si="77" ref="BN22:BN37">IF(AN22="新定額",12*(2008-LEFT(BM22,4))+(13-RIGHT(BM22,2)),0)</f>
        <v>0</v>
      </c>
      <c r="BO22" s="380">
        <f t="shared" si="23"/>
        <v>0</v>
      </c>
      <c r="BP22" s="248">
        <f t="shared" si="57"/>
        <v>600000</v>
      </c>
      <c r="BQ22" s="248">
        <f t="shared" si="24"/>
        <v>7150</v>
      </c>
      <c r="BR22" s="248">
        <f t="shared" si="62"/>
        <v>177</v>
      </c>
      <c r="BS22" s="392">
        <f t="shared" si="40"/>
        <v>-579750</v>
      </c>
      <c r="BT22" s="392" t="str">
        <f t="shared" si="41"/>
        <v>終了</v>
      </c>
      <c r="BU22" s="338">
        <f t="shared" si="71"/>
        <v>0</v>
      </c>
      <c r="BV22" s="251">
        <f t="shared" si="72"/>
        <v>1</v>
      </c>
      <c r="BW22" s="339">
        <f t="shared" si="73"/>
        <v>0</v>
      </c>
      <c r="BX22" s="338">
        <f t="shared" si="74"/>
        <v>1</v>
      </c>
      <c r="BY22" s="338">
        <f t="shared" si="42"/>
        <v>0</v>
      </c>
      <c r="BZ22" s="341">
        <f t="shared" si="43"/>
        <v>0</v>
      </c>
      <c r="CA22" s="346">
        <f t="shared" si="44"/>
        <v>1</v>
      </c>
      <c r="CB22" s="251">
        <f t="shared" si="45"/>
        <v>1</v>
      </c>
      <c r="CC22" s="248"/>
      <c r="CD22" s="233"/>
      <c r="CE22" s="233"/>
      <c r="CF22" s="233"/>
      <c r="CG22" s="233"/>
      <c r="CH22" s="233"/>
      <c r="CI22" s="233"/>
      <c r="CJ22" s="233"/>
      <c r="CK22" s="233"/>
      <c r="CL22" s="233"/>
      <c r="CM22" s="233"/>
      <c r="CN22" s="120"/>
      <c r="CO22" s="73">
        <v>16</v>
      </c>
      <c r="CP22" s="74" t="str">
        <f t="shared" si="46"/>
        <v>ドライブハロー</v>
      </c>
      <c r="CQ22" s="82">
        <f t="shared" si="47"/>
      </c>
      <c r="CR22" s="83" t="str">
        <f t="shared" si="48"/>
        <v>H17</v>
      </c>
      <c r="CS22" s="83">
        <f t="shared" si="49"/>
        <v>4</v>
      </c>
      <c r="CT22" s="86">
        <f t="shared" si="50"/>
      </c>
      <c r="CU22" s="85">
        <f t="shared" si="51"/>
        <v>600000</v>
      </c>
      <c r="CV22" s="85">
        <f t="shared" si="29"/>
        <v>540000</v>
      </c>
      <c r="CW22" s="229" t="str">
        <f t="shared" si="52"/>
        <v>旧定額</v>
      </c>
      <c r="CX22" s="302">
        <f t="shared" si="58"/>
        <v>7</v>
      </c>
      <c r="CY22" s="340">
        <f t="shared" si="30"/>
        <v>0.142</v>
      </c>
      <c r="CZ22" s="79">
        <f t="shared" si="53"/>
        <v>12</v>
      </c>
      <c r="DA22" s="80" t="str">
        <f t="shared" si="54"/>
        <v>/12</v>
      </c>
      <c r="DB22" s="343">
        <f t="shared" si="59"/>
        <v>0</v>
      </c>
      <c r="DC22" s="87" t="str">
        <f t="shared" si="31"/>
        <v>100%</v>
      </c>
      <c r="DD22" s="85">
        <f t="shared" si="64"/>
        <v>0</v>
      </c>
      <c r="DE22" s="343">
        <f t="shared" si="60"/>
        <v>1</v>
      </c>
      <c r="DF22" s="306" t="str">
        <f t="shared" si="32"/>
        <v>終了　8年</v>
      </c>
      <c r="DG22" s="363"/>
      <c r="DH22" s="388"/>
      <c r="DI22" s="383"/>
      <c r="DJ22" s="383"/>
      <c r="DO22" s="120">
        <v>22</v>
      </c>
      <c r="DP22" s="120" t="s">
        <v>120</v>
      </c>
      <c r="DR22" s="120">
        <v>1947</v>
      </c>
    </row>
    <row r="23" spans="1:122" ht="13.5" customHeight="1">
      <c r="A23" s="292">
        <v>17</v>
      </c>
      <c r="B23" s="211" t="s">
        <v>635</v>
      </c>
      <c r="C23" s="212"/>
      <c r="D23" s="213"/>
      <c r="E23" s="214" t="s">
        <v>398</v>
      </c>
      <c r="F23" s="214">
        <v>8</v>
      </c>
      <c r="G23" s="215">
        <v>680000</v>
      </c>
      <c r="H23" s="216">
        <v>8</v>
      </c>
      <c r="I23" s="216">
        <v>7</v>
      </c>
      <c r="J23" s="217"/>
      <c r="K23" s="218"/>
      <c r="L23" s="218">
        <f t="shared" si="33"/>
      </c>
      <c r="M23" s="191">
        <f t="shared" si="2"/>
      </c>
      <c r="N23" s="194">
        <f t="shared" si="55"/>
        <v>0</v>
      </c>
      <c r="O23" s="291">
        <f t="shared" si="56"/>
        <v>1</v>
      </c>
      <c r="P23" s="286">
        <f>IF(ISERROR(IF(AND(C23="◎",YEAR(AW23)&lt;1999),VLOOKUP(AS23,テーブル!$S$8:$W$106,2,0),"")),"",IF(AND(C23="◎",YEAR(AW23)&lt;1999),VLOOKUP(AS23,テーブル!$S$8:$W$106,2,0),""))</f>
      </c>
      <c r="Q23" s="276">
        <f t="shared" si="34"/>
        <v>0.125</v>
      </c>
      <c r="R23" s="278">
        <f t="shared" si="35"/>
        <v>0</v>
      </c>
      <c r="S23" s="274">
        <f t="shared" si="3"/>
        <v>0</v>
      </c>
      <c r="T23" s="276">
        <f>IF(AN23="旧定額",VLOOKUP(H23,[0]!旧償却率,2,0),IF(ISERROR(VLOOKUP(H23,[0]!新償却率,2,0)),"",IF(U23=0,"",VLOOKUP(H23,[0]!新償却率,2,0))))</f>
        <v>0.125</v>
      </c>
      <c r="U23" s="274">
        <f t="shared" si="36"/>
        <v>29</v>
      </c>
      <c r="V23" s="274">
        <f t="shared" si="76"/>
        <v>184875</v>
      </c>
      <c r="W23" s="274">
        <f t="shared" si="5"/>
        <v>184875</v>
      </c>
      <c r="X23" s="378">
        <f>IF(AN23="旧定額",T23,VLOOKUP(H23,テーブル!$C$8:$D$106,2,0))</f>
        <v>0.125</v>
      </c>
      <c r="Y23" s="274">
        <f t="shared" si="6"/>
        <v>76500</v>
      </c>
      <c r="Z23" s="274"/>
      <c r="AA23" s="276">
        <f>IF(ISERROR(VLOOKUP(I23,テーブル!$S$8:$W$106,2,0)),"",IF(AN23="旧定額",VLOOKUP(I23,テーブル!$S$8:$W$106,2,0),VLOOKUP(I23,テーブル!$C$8:$D$106,2,0)))</f>
        <v>0.142</v>
      </c>
      <c r="AB23" s="236" t="str">
        <f t="shared" si="37"/>
        <v>終了　8年</v>
      </c>
      <c r="AC23" s="232"/>
      <c r="AD23" s="232"/>
      <c r="AE23" s="232"/>
      <c r="AF23" s="232"/>
      <c r="AG23" s="232"/>
      <c r="AH23" s="232"/>
      <c r="AI23" s="270"/>
      <c r="AJ23" s="270"/>
      <c r="AK23" s="270"/>
      <c r="AL23" s="270"/>
      <c r="AM23" s="233"/>
      <c r="AN23" s="248" t="str">
        <f t="shared" si="7"/>
        <v>旧定額</v>
      </c>
      <c r="AO23" s="248">
        <f t="shared" si="8"/>
        <v>29</v>
      </c>
      <c r="AP23" s="248">
        <f>IF(AO23&lt;&gt;"",INT(G23-VLOOKUP(H23,テーブル!$S$8:$W$106,4,0)*AO23*G23/1000000),"")</f>
        <v>495125</v>
      </c>
      <c r="AQ23" s="248">
        <f t="shared" si="9"/>
        <v>495125</v>
      </c>
      <c r="AR23" s="248">
        <f t="shared" si="10"/>
      </c>
      <c r="AS23" s="248">
        <f>IF(AR23&lt;0,"",IF(AR23&lt;&gt;"",VLOOKUP(H23,テーブル!$Q$8:$W$106,2,0),""))</f>
      </c>
      <c r="AT23" s="248">
        <f>IF(AS23&lt;&gt;"",G23-VLOOKUP(AS23,テーブル!$S$8:$W$106,4,0)*AR23*G23/1000000,G23)</f>
        <v>680000</v>
      </c>
      <c r="AU23" s="268">
        <f>IF(AS23&lt;&gt;"",AT23-VLOOKUP(H23,テーブル!$S$8:$W$106,4,0)*(AO23-AR23)*G23/1000000,AT23-VLOOKUP(H23,テーブル!$S$8:$W$106,4,0)*(AO23)*G23/1000000)</f>
        <v>495125</v>
      </c>
      <c r="AV23" s="284">
        <f t="shared" si="61"/>
        <v>495125</v>
      </c>
      <c r="AW23" s="249">
        <f t="shared" si="11"/>
        <v>38565</v>
      </c>
      <c r="AX23" s="248" t="str">
        <f t="shared" si="63"/>
        <v>通常償却</v>
      </c>
      <c r="AY23" s="248">
        <f>IF(AV23&lt;&gt;0,IF(AV23&gt;INT(G23*0.05),(VLOOKUP(H23,テーブル!$S$2:T116,2,0)*G23*0.9),IF(AV23=INT(G23*0.05),INT((AV23-1)/5),0)),"")</f>
        <v>76500</v>
      </c>
      <c r="AZ23" s="248">
        <f t="shared" si="12"/>
        <v>76500</v>
      </c>
      <c r="BA23" s="248">
        <f t="shared" si="65"/>
        <v>418625</v>
      </c>
      <c r="BB23" s="248">
        <f t="shared" si="66"/>
        <v>132</v>
      </c>
      <c r="BC23" s="248">
        <f t="shared" si="15"/>
        <v>52.73892773892774</v>
      </c>
      <c r="BD23" s="261">
        <f t="shared" si="0"/>
        <v>86904</v>
      </c>
      <c r="BE23" s="248">
        <f t="shared" si="67"/>
        <v>2013</v>
      </c>
      <c r="BF23" s="248">
        <f t="shared" si="68"/>
        <v>71009</v>
      </c>
      <c r="BG23" s="248">
        <f t="shared" si="18"/>
        <v>37009</v>
      </c>
      <c r="BH23" s="248">
        <f t="shared" si="69"/>
        <v>2014</v>
      </c>
      <c r="BI23" s="248">
        <f t="shared" si="38"/>
        <v>2018</v>
      </c>
      <c r="BJ23" s="248" t="str">
        <f t="shared" si="70"/>
        <v>終了</v>
      </c>
      <c r="BK23" s="263">
        <f t="shared" si="75"/>
        <v>0</v>
      </c>
      <c r="BL23" s="251">
        <f t="shared" si="39"/>
        <v>1</v>
      </c>
      <c r="BM23" s="248">
        <f t="shared" si="21"/>
        <v>200508</v>
      </c>
      <c r="BN23" s="379">
        <f t="shared" si="77"/>
        <v>0</v>
      </c>
      <c r="BO23" s="380">
        <f t="shared" si="23"/>
        <v>0</v>
      </c>
      <c r="BP23" s="248">
        <f t="shared" si="57"/>
        <v>680000</v>
      </c>
      <c r="BQ23" s="248">
        <f t="shared" si="24"/>
        <v>8103.333333333333</v>
      </c>
      <c r="BR23" s="248">
        <f t="shared" si="62"/>
        <v>173</v>
      </c>
      <c r="BS23" s="392">
        <f t="shared" si="40"/>
        <v>-624636.6666666665</v>
      </c>
      <c r="BT23" s="392" t="str">
        <f t="shared" si="41"/>
        <v>終了</v>
      </c>
      <c r="BU23" s="338">
        <f t="shared" si="71"/>
        <v>0</v>
      </c>
      <c r="BV23" s="251">
        <f t="shared" si="72"/>
        <v>1</v>
      </c>
      <c r="BW23" s="339">
        <f t="shared" si="73"/>
        <v>0</v>
      </c>
      <c r="BX23" s="338">
        <f t="shared" si="74"/>
        <v>1</v>
      </c>
      <c r="BY23" s="338">
        <f t="shared" si="42"/>
        <v>0</v>
      </c>
      <c r="BZ23" s="341">
        <f t="shared" si="43"/>
        <v>0</v>
      </c>
      <c r="CA23" s="346">
        <f t="shared" si="44"/>
        <v>1</v>
      </c>
      <c r="CB23" s="251">
        <f t="shared" si="45"/>
        <v>1</v>
      </c>
      <c r="CC23" s="248"/>
      <c r="CD23" s="233"/>
      <c r="CE23" s="233"/>
      <c r="CF23" s="233"/>
      <c r="CG23" s="233"/>
      <c r="CH23" s="233"/>
      <c r="CI23" s="233"/>
      <c r="CJ23" s="233"/>
      <c r="CK23" s="233"/>
      <c r="CL23" s="233"/>
      <c r="CM23" s="233"/>
      <c r="CN23" s="120"/>
      <c r="CO23" s="70">
        <v>17</v>
      </c>
      <c r="CP23" s="74" t="str">
        <f t="shared" si="46"/>
        <v>もみすり機</v>
      </c>
      <c r="CQ23" s="82">
        <f t="shared" si="47"/>
      </c>
      <c r="CR23" s="83" t="str">
        <f t="shared" si="48"/>
        <v>H17</v>
      </c>
      <c r="CS23" s="83">
        <f t="shared" si="49"/>
        <v>8</v>
      </c>
      <c r="CT23" s="86">
        <f t="shared" si="50"/>
      </c>
      <c r="CU23" s="85">
        <f t="shared" si="51"/>
        <v>680000</v>
      </c>
      <c r="CV23" s="85">
        <f t="shared" si="29"/>
        <v>612000</v>
      </c>
      <c r="CW23" s="229" t="str">
        <f t="shared" si="52"/>
        <v>旧定額</v>
      </c>
      <c r="CX23" s="302">
        <f t="shared" si="58"/>
        <v>7</v>
      </c>
      <c r="CY23" s="340">
        <f t="shared" si="30"/>
        <v>0.142</v>
      </c>
      <c r="CZ23" s="79">
        <f t="shared" si="53"/>
        <v>12</v>
      </c>
      <c r="DA23" s="80" t="str">
        <f t="shared" si="54"/>
        <v>/12</v>
      </c>
      <c r="DB23" s="343">
        <f t="shared" si="59"/>
        <v>0</v>
      </c>
      <c r="DC23" s="87" t="str">
        <f t="shared" si="31"/>
        <v>100%</v>
      </c>
      <c r="DD23" s="85">
        <f t="shared" si="64"/>
        <v>0</v>
      </c>
      <c r="DE23" s="343">
        <f t="shared" si="60"/>
        <v>1</v>
      </c>
      <c r="DF23" s="306" t="str">
        <f t="shared" si="32"/>
        <v>終了　8年</v>
      </c>
      <c r="DG23" s="363"/>
      <c r="DH23" s="388"/>
      <c r="DI23" s="383"/>
      <c r="DJ23" s="383"/>
      <c r="DO23" s="120">
        <v>23</v>
      </c>
      <c r="DP23" s="120" t="s">
        <v>121</v>
      </c>
      <c r="DR23" s="120">
        <v>1948</v>
      </c>
    </row>
    <row r="24" spans="1:122" ht="13.5" customHeight="1">
      <c r="A24" s="290">
        <v>18</v>
      </c>
      <c r="B24" s="211" t="s">
        <v>636</v>
      </c>
      <c r="C24" s="212"/>
      <c r="D24" s="213"/>
      <c r="E24" s="214" t="s">
        <v>399</v>
      </c>
      <c r="F24" s="214">
        <v>3</v>
      </c>
      <c r="G24" s="215">
        <v>379800</v>
      </c>
      <c r="H24" s="216">
        <v>5</v>
      </c>
      <c r="I24" s="216">
        <v>5</v>
      </c>
      <c r="J24" s="217"/>
      <c r="K24" s="218"/>
      <c r="L24" s="218">
        <f t="shared" si="33"/>
      </c>
      <c r="M24" s="191">
        <f t="shared" si="2"/>
      </c>
      <c r="N24" s="194">
        <f t="shared" si="55"/>
        <v>0</v>
      </c>
      <c r="O24" s="291">
        <f t="shared" si="56"/>
        <v>1</v>
      </c>
      <c r="P24" s="286">
        <f>IF(ISERROR(IF(AND(C24="◎",YEAR(AW24)&lt;1999),VLOOKUP(AS24,テーブル!$S$8:$W$106,2,0),"")),"",IF(AND(C24="◎",YEAR(AW24)&lt;1999),VLOOKUP(AS24,テーブル!$S$8:$W$106,2,0),""))</f>
      </c>
      <c r="Q24" s="276">
        <f t="shared" si="34"/>
        <v>0.2</v>
      </c>
      <c r="R24" s="278">
        <f t="shared" si="35"/>
        <v>0</v>
      </c>
      <c r="S24" s="274">
        <f t="shared" si="3"/>
        <v>0</v>
      </c>
      <c r="T24" s="276">
        <f>IF(AN24="旧定額",VLOOKUP(H24,[0]!旧償却率,2,0),IF(ISERROR(VLOOKUP(H24,[0]!新償却率,2,0)),"",IF(U24=0,"",VLOOKUP(H24,[0]!新償却率,2,0))))</f>
        <v>0.2</v>
      </c>
      <c r="U24" s="274">
        <f t="shared" si="36"/>
        <v>22</v>
      </c>
      <c r="V24" s="274">
        <f t="shared" si="76"/>
        <v>125334</v>
      </c>
      <c r="W24" s="274">
        <f t="shared" si="5"/>
        <v>125334</v>
      </c>
      <c r="X24" s="378">
        <f>IF(AN24="旧定額",T24,VLOOKUP(H24,テーブル!$C$8:$D$106,2,0))</f>
        <v>0.2</v>
      </c>
      <c r="Y24" s="274">
        <f t="shared" si="6"/>
        <v>68364</v>
      </c>
      <c r="Z24" s="274"/>
      <c r="AA24" s="276">
        <f>IF(ISERROR(VLOOKUP(I24,テーブル!$S$8:$W$106,2,0)),"",IF(AN24="旧定額",VLOOKUP(I24,テーブル!$S$8:$W$106,2,0),VLOOKUP(I24,テーブル!$C$8:$D$106,2,0)))</f>
        <v>0.2</v>
      </c>
      <c r="AB24" s="236" t="str">
        <f t="shared" si="37"/>
        <v>終了　5年</v>
      </c>
      <c r="AC24" s="232"/>
      <c r="AD24" s="232"/>
      <c r="AE24" s="232"/>
      <c r="AF24" s="232"/>
      <c r="AG24" s="232"/>
      <c r="AH24" s="232"/>
      <c r="AI24" s="270"/>
      <c r="AJ24" s="270"/>
      <c r="AK24" s="270"/>
      <c r="AL24" s="270"/>
      <c r="AM24" s="233"/>
      <c r="AN24" s="248" t="str">
        <f t="shared" si="7"/>
        <v>旧定額</v>
      </c>
      <c r="AO24" s="248">
        <f t="shared" si="8"/>
        <v>22</v>
      </c>
      <c r="AP24" s="248">
        <f>IF(AO24&lt;&gt;"",INT(G24-VLOOKUP(H24,テーブル!$S$8:$W$106,4,0)*AO24*G24/1000000),"")</f>
        <v>254466</v>
      </c>
      <c r="AQ24" s="248">
        <f t="shared" si="9"/>
        <v>254466</v>
      </c>
      <c r="AR24" s="248">
        <f t="shared" si="10"/>
      </c>
      <c r="AS24" s="248">
        <f>IF(AR24&lt;0,"",IF(AR24&lt;&gt;"",VLOOKUP(H24,テーブル!$Q$8:$W$106,2,0),""))</f>
      </c>
      <c r="AT24" s="248">
        <f>IF(AS24&lt;&gt;"",G24-VLOOKUP(AS24,テーブル!$S$8:$W$106,4,0)*AR24*G24/1000000,G24)</f>
        <v>379800</v>
      </c>
      <c r="AU24" s="268">
        <f>IF(AS24&lt;&gt;"",AT24-VLOOKUP(H24,テーブル!$S$8:$W$106,4,0)*(AO24-AR24)*G24/1000000,AT24-VLOOKUP(H24,テーブル!$S$8:$W$106,4,0)*(AO24)*G24/1000000)</f>
        <v>254466</v>
      </c>
      <c r="AV24" s="284">
        <f t="shared" si="61"/>
        <v>254466</v>
      </c>
      <c r="AW24" s="249">
        <f t="shared" si="11"/>
        <v>38777</v>
      </c>
      <c r="AX24" s="248" t="str">
        <f t="shared" si="63"/>
        <v>通常償却</v>
      </c>
      <c r="AY24" s="248">
        <f>IF(AV24&lt;&gt;0,IF(AV24&gt;INT(G24*0.05),(VLOOKUP(H24,テーブル!$S$2:T117,2,0)*G24*0.9),IF(AV24=INT(G24*0.05),INT((AV24-1)/5),0)),"")</f>
        <v>68364</v>
      </c>
      <c r="AZ24" s="248">
        <f t="shared" si="12"/>
        <v>68364</v>
      </c>
      <c r="BA24" s="248">
        <f t="shared" si="65"/>
        <v>186102</v>
      </c>
      <c r="BB24" s="248">
        <f t="shared" si="66"/>
        <v>132</v>
      </c>
      <c r="BC24" s="248">
        <f t="shared" si="15"/>
        <v>29.333333333333332</v>
      </c>
      <c r="BD24" s="261">
        <f t="shared" si="0"/>
        <v>68364</v>
      </c>
      <c r="BE24" s="248">
        <f t="shared" si="67"/>
        <v>2011</v>
      </c>
      <c r="BF24" s="248">
        <f t="shared" si="68"/>
        <v>49374</v>
      </c>
      <c r="BG24" s="248">
        <f t="shared" si="18"/>
        <v>30384</v>
      </c>
      <c r="BH24" s="248">
        <f t="shared" si="69"/>
        <v>2012</v>
      </c>
      <c r="BI24" s="248">
        <f t="shared" si="38"/>
        <v>2016</v>
      </c>
      <c r="BJ24" s="248" t="str">
        <f t="shared" si="70"/>
        <v>終了</v>
      </c>
      <c r="BK24" s="263">
        <f t="shared" si="75"/>
        <v>0</v>
      </c>
      <c r="BL24" s="251">
        <f t="shared" si="39"/>
        <v>1</v>
      </c>
      <c r="BM24" s="248">
        <f t="shared" si="21"/>
        <v>200603</v>
      </c>
      <c r="BN24" s="379">
        <f t="shared" si="77"/>
        <v>0</v>
      </c>
      <c r="BO24" s="380">
        <f t="shared" si="23"/>
        <v>0</v>
      </c>
      <c r="BP24" s="248">
        <f t="shared" si="57"/>
        <v>379800</v>
      </c>
      <c r="BQ24" s="248">
        <f t="shared" si="24"/>
        <v>6330</v>
      </c>
      <c r="BR24" s="248">
        <f t="shared" si="62"/>
        <v>166</v>
      </c>
      <c r="BS24" s="392">
        <f t="shared" si="40"/>
        <v>-595020</v>
      </c>
      <c r="BT24" s="392" t="str">
        <f t="shared" si="41"/>
        <v>終了</v>
      </c>
      <c r="BU24" s="338">
        <f t="shared" si="71"/>
        <v>0</v>
      </c>
      <c r="BV24" s="251">
        <f t="shared" si="72"/>
        <v>1</v>
      </c>
      <c r="BW24" s="339">
        <f t="shared" si="73"/>
        <v>0</v>
      </c>
      <c r="BX24" s="338">
        <f t="shared" si="74"/>
        <v>1</v>
      </c>
      <c r="BY24" s="338">
        <f t="shared" si="42"/>
        <v>0</v>
      </c>
      <c r="BZ24" s="341">
        <f t="shared" si="43"/>
        <v>0</v>
      </c>
      <c r="CA24" s="346">
        <f t="shared" si="44"/>
        <v>1</v>
      </c>
      <c r="CB24" s="251">
        <f t="shared" si="45"/>
        <v>1</v>
      </c>
      <c r="CC24" s="248"/>
      <c r="CD24" s="233"/>
      <c r="CE24" s="233"/>
      <c r="CF24" s="233"/>
      <c r="CG24" s="233"/>
      <c r="CH24" s="233"/>
      <c r="CI24" s="233"/>
      <c r="CJ24" s="233"/>
      <c r="CK24" s="233"/>
      <c r="CL24" s="233"/>
      <c r="CM24" s="233"/>
      <c r="CN24" s="120"/>
      <c r="CO24" s="73">
        <v>18</v>
      </c>
      <c r="CP24" s="74" t="str">
        <f t="shared" si="46"/>
        <v>機械保管庫</v>
      </c>
      <c r="CQ24" s="82">
        <f t="shared" si="47"/>
      </c>
      <c r="CR24" s="83" t="str">
        <f t="shared" si="48"/>
        <v>H18</v>
      </c>
      <c r="CS24" s="83">
        <f t="shared" si="49"/>
        <v>3</v>
      </c>
      <c r="CT24" s="86">
        <f t="shared" si="50"/>
      </c>
      <c r="CU24" s="85">
        <f t="shared" si="51"/>
        <v>379800</v>
      </c>
      <c r="CV24" s="85">
        <f t="shared" si="29"/>
        <v>341820</v>
      </c>
      <c r="CW24" s="229" t="str">
        <f t="shared" si="52"/>
        <v>旧定額</v>
      </c>
      <c r="CX24" s="302">
        <f t="shared" si="58"/>
        <v>5</v>
      </c>
      <c r="CY24" s="340">
        <f t="shared" si="30"/>
        <v>0.2</v>
      </c>
      <c r="CZ24" s="79">
        <f t="shared" si="53"/>
        <v>12</v>
      </c>
      <c r="DA24" s="80" t="str">
        <f t="shared" si="54"/>
        <v>/12</v>
      </c>
      <c r="DB24" s="343">
        <f t="shared" si="59"/>
        <v>0</v>
      </c>
      <c r="DC24" s="87" t="str">
        <f t="shared" si="31"/>
        <v>100%</v>
      </c>
      <c r="DD24" s="85">
        <f t="shared" si="64"/>
        <v>0</v>
      </c>
      <c r="DE24" s="343">
        <f t="shared" si="60"/>
        <v>1</v>
      </c>
      <c r="DF24" s="306" t="str">
        <f t="shared" si="32"/>
        <v>終了　5年</v>
      </c>
      <c r="DH24" s="388"/>
      <c r="DI24" s="383"/>
      <c r="DJ24" s="383"/>
      <c r="DO24" s="120">
        <v>24</v>
      </c>
      <c r="DP24" s="120" t="s">
        <v>122</v>
      </c>
      <c r="DR24" s="120">
        <v>1949</v>
      </c>
    </row>
    <row r="25" spans="1:122" ht="13.5" customHeight="1">
      <c r="A25" s="292">
        <v>19</v>
      </c>
      <c r="B25" s="211" t="s">
        <v>637</v>
      </c>
      <c r="C25" s="212"/>
      <c r="D25" s="213"/>
      <c r="E25" s="214" t="s">
        <v>428</v>
      </c>
      <c r="F25" s="214">
        <v>8</v>
      </c>
      <c r="G25" s="215">
        <v>393514</v>
      </c>
      <c r="H25" s="216"/>
      <c r="I25" s="216">
        <v>7</v>
      </c>
      <c r="J25" s="217"/>
      <c r="K25" s="218"/>
      <c r="L25" s="218">
        <f t="shared" si="33"/>
      </c>
      <c r="M25" s="191">
        <f t="shared" si="2"/>
      </c>
      <c r="N25" s="194">
        <f t="shared" si="55"/>
        <v>56272.50199999999</v>
      </c>
      <c r="O25" s="291">
        <f t="shared" si="56"/>
        <v>313794.62216666667</v>
      </c>
      <c r="P25" s="286">
        <f>IF(ISERROR(IF(AND(C25="◎",YEAR(AW25)&lt;1999),VLOOKUP(AS25,テーブル!$S$8:$W$106,2,0),"")),"",IF(AND(C25="◎",YEAR(AW25)&lt;1999),VLOOKUP(AS25,テーブル!$S$8:$W$106,2,0),""))</f>
      </c>
      <c r="Q25" s="276">
        <f t="shared" si="34"/>
      </c>
      <c r="R25" s="278">
        <f t="shared" si="35"/>
        <v>0</v>
      </c>
      <c r="S25" s="274" t="e">
        <f t="shared" si="3"/>
        <v>#VALUE!</v>
      </c>
      <c r="T25" s="276">
        <f>IF(AN25="旧定額",VLOOKUP(H25,[0]!旧償却率,2,0),IF(ISERROR(VLOOKUP(H25,[0]!新償却率,2,0)),"",IF(U25=0,"",VLOOKUP(H25,[0]!新償却率,2,0))))</f>
      </c>
      <c r="U25" s="274">
        <f t="shared" si="36"/>
        <v>0</v>
      </c>
      <c r="V25" s="274">
        <f t="shared" si="76"/>
      </c>
      <c r="W25" s="274">
        <f t="shared" si="5"/>
        <v>0</v>
      </c>
      <c r="X25" s="378" t="e">
        <f>IF(AN25="旧定額",T25,VLOOKUP(H25,テーブル!$C$8:$D$106,2,0))</f>
        <v>#N/A</v>
      </c>
      <c r="Y25" s="274" t="e">
        <f t="shared" si="6"/>
        <v>#N/A</v>
      </c>
      <c r="Z25" s="274"/>
      <c r="AA25" s="276">
        <f>IF(ISERROR(VLOOKUP(I25,テーブル!$S$8:$W$106,2,0)),"",IF(AN25="旧定額",VLOOKUP(I25,テーブル!$S$8:$W$106,2,0),VLOOKUP(I25,テーブル!$C$8:$D$106,2,0)))</f>
        <v>0.143</v>
      </c>
      <c r="AB25" s="236">
        <f t="shared" si="37"/>
      </c>
      <c r="AC25" s="232"/>
      <c r="AD25" s="232"/>
      <c r="AE25" s="232"/>
      <c r="AF25" s="232"/>
      <c r="AG25" s="232"/>
      <c r="AH25" s="232"/>
      <c r="AI25" s="270"/>
      <c r="AJ25" s="270"/>
      <c r="AK25" s="270"/>
      <c r="AL25" s="270"/>
      <c r="AM25" s="233"/>
      <c r="AN25" s="248" t="str">
        <f t="shared" si="7"/>
        <v>新定額</v>
      </c>
      <c r="AO25" s="248">
        <f t="shared" si="8"/>
      </c>
      <c r="AP25" s="248">
        <f>IF(AO25&lt;&gt;"",INT(G25-VLOOKUP(H25,テーブル!$S$8:$W$106,4,0)*AO25*G25/1000000),"")</f>
      </c>
      <c r="AQ25" s="248">
        <f t="shared" si="9"/>
      </c>
      <c r="AR25" s="248">
        <f t="shared" si="10"/>
      </c>
      <c r="AS25" s="248">
        <f>IF(AR25&lt;0,"",IF(AR25&lt;&gt;"",VLOOKUP(H25,テーブル!$Q$8:$W$106,2,0),""))</f>
      </c>
      <c r="AT25" s="248">
        <f>IF(AS25&lt;&gt;"",G25-VLOOKUP(AS25,テーブル!$S$8:$W$106,4,0)*AR25*G25/1000000,G25)</f>
        <v>393514</v>
      </c>
      <c r="AU25" s="268" t="e">
        <f>IF(AS25&lt;&gt;"",AT25-VLOOKUP(H25,テーブル!$S$8:$W$106,4,0)*(AO25-AR25)*G25/1000000,AT25-VLOOKUP(H25,テーブル!$S$8:$W$106,4,0)*(AO25)*G25/1000000)</f>
        <v>#N/A</v>
      </c>
      <c r="AV25" s="284">
        <f t="shared" si="61"/>
        <v>0</v>
      </c>
      <c r="AW25" s="249">
        <f t="shared" si="11"/>
        <v>43313</v>
      </c>
      <c r="AX25" s="248">
        <f t="shared" si="63"/>
      </c>
      <c r="AY25" s="248">
        <f>IF(AV25&lt;&gt;0,IF(AV25&gt;INT(G25*0.05),(VLOOKUP(H25,テーブル!$S$2:T118,2,0)*G25*0.9),IF(AV25=INT(G25*0.05),INT((AV25-1)/5),0)),"")</f>
      </c>
      <c r="AZ25" s="248">
        <f t="shared" si="12"/>
      </c>
      <c r="BA25" s="248">
        <f t="shared" si="65"/>
      </c>
      <c r="BB25" s="248">
        <f t="shared" si="66"/>
      </c>
      <c r="BC25" s="248">
        <f t="shared" si="15"/>
      </c>
      <c r="BD25" s="261">
        <f t="shared" si="0"/>
      </c>
      <c r="BE25" s="248">
        <f t="shared" si="67"/>
      </c>
      <c r="BF25" s="248">
        <f t="shared" si="68"/>
      </c>
      <c r="BG25" s="248">
        <f t="shared" si="18"/>
      </c>
      <c r="BH25" s="248">
        <f t="shared" si="69"/>
      </c>
      <c r="BI25" s="248">
        <f t="shared" si="38"/>
      </c>
      <c r="BJ25" s="248">
        <f t="shared" si="70"/>
      </c>
      <c r="BK25" s="263">
        <f t="shared" si="75"/>
      </c>
      <c r="BL25" s="251">
        <f t="shared" si="39"/>
      </c>
      <c r="BM25" s="248">
        <f t="shared" si="21"/>
        <v>201808</v>
      </c>
      <c r="BN25" s="379">
        <f t="shared" si="77"/>
        <v>-115</v>
      </c>
      <c r="BO25" s="380">
        <f t="shared" si="23"/>
        <v>0</v>
      </c>
      <c r="BP25" s="248">
        <f t="shared" si="57"/>
        <v>393514</v>
      </c>
      <c r="BQ25" s="248">
        <f t="shared" si="24"/>
        <v>4689.375166666666</v>
      </c>
      <c r="BR25" s="248">
        <f t="shared" si="62"/>
        <v>17</v>
      </c>
      <c r="BS25" s="392">
        <f t="shared" si="40"/>
        <v>370067.12416666665</v>
      </c>
      <c r="BT25" s="392" t="str">
        <f t="shared" si="41"/>
        <v>通常回</v>
      </c>
      <c r="BU25" s="338">
        <f t="shared" si="71"/>
        <v>56272.50199999999</v>
      </c>
      <c r="BV25" s="251">
        <f t="shared" si="72"/>
        <v>313794.62216666667</v>
      </c>
      <c r="BW25" s="339">
        <f t="shared" si="73"/>
        <v>56272.50199999999</v>
      </c>
      <c r="BX25" s="338">
        <f t="shared" si="74"/>
        <v>313794.62216666667</v>
      </c>
      <c r="BY25" s="338">
        <f t="shared" si="42"/>
        <v>56272.50199999999</v>
      </c>
      <c r="BZ25" s="341">
        <f t="shared" si="43"/>
        <v>56272.50199999999</v>
      </c>
      <c r="CA25" s="346">
        <f t="shared" si="44"/>
        <v>313794.62216666667</v>
      </c>
      <c r="CB25" s="251">
        <f t="shared" si="45"/>
        <v>313794.62216666667</v>
      </c>
      <c r="CC25" s="248"/>
      <c r="CD25" s="233"/>
      <c r="CE25" s="233"/>
      <c r="CF25" s="233"/>
      <c r="CG25" s="233"/>
      <c r="CH25" s="233"/>
      <c r="CI25" s="233"/>
      <c r="CJ25" s="233"/>
      <c r="CK25" s="233"/>
      <c r="CL25" s="233"/>
      <c r="CM25" s="233"/>
      <c r="CN25" s="120"/>
      <c r="CO25" s="70">
        <v>19</v>
      </c>
      <c r="CP25" s="74" t="str">
        <f t="shared" si="46"/>
        <v>枝豆洗浄機</v>
      </c>
      <c r="CQ25" s="82">
        <f t="shared" si="47"/>
      </c>
      <c r="CR25" s="83" t="str">
        <f t="shared" si="48"/>
        <v>H30</v>
      </c>
      <c r="CS25" s="83">
        <f t="shared" si="49"/>
        <v>8</v>
      </c>
      <c r="CT25" s="86">
        <f t="shared" si="50"/>
      </c>
      <c r="CU25" s="85">
        <f t="shared" si="51"/>
        <v>393514</v>
      </c>
      <c r="CV25" s="85">
        <f t="shared" si="29"/>
        <v>393514</v>
      </c>
      <c r="CW25" s="229" t="str">
        <f t="shared" si="52"/>
        <v>新定額</v>
      </c>
      <c r="CX25" s="302">
        <f t="shared" si="58"/>
        <v>7</v>
      </c>
      <c r="CY25" s="340">
        <f t="shared" si="30"/>
        <v>0.143</v>
      </c>
      <c r="CZ25" s="79">
        <f t="shared" si="53"/>
        <v>12</v>
      </c>
      <c r="DA25" s="80" t="str">
        <f t="shared" si="54"/>
        <v>/12</v>
      </c>
      <c r="DB25" s="343">
        <f t="shared" si="59"/>
        <v>56273</v>
      </c>
      <c r="DC25" s="87" t="str">
        <f t="shared" si="31"/>
        <v>100%</v>
      </c>
      <c r="DD25" s="85">
        <f t="shared" si="64"/>
        <v>56273</v>
      </c>
      <c r="DE25" s="343">
        <f t="shared" si="60"/>
        <v>313795</v>
      </c>
      <c r="DF25" s="306">
        <f t="shared" si="32"/>
      </c>
      <c r="DH25" s="388"/>
      <c r="DI25" s="383"/>
      <c r="DJ25" s="383"/>
      <c r="DO25" s="120">
        <v>25</v>
      </c>
      <c r="DP25" s="120" t="s">
        <v>123</v>
      </c>
      <c r="DR25" s="120">
        <v>1950</v>
      </c>
    </row>
    <row r="26" spans="1:122" ht="13.5" customHeight="1">
      <c r="A26" s="290">
        <v>20</v>
      </c>
      <c r="B26" s="211" t="s">
        <v>638</v>
      </c>
      <c r="C26" s="212"/>
      <c r="D26" s="213"/>
      <c r="E26" s="214" t="s">
        <v>428</v>
      </c>
      <c r="F26" s="214">
        <v>4</v>
      </c>
      <c r="G26" s="215">
        <v>265248</v>
      </c>
      <c r="H26" s="216"/>
      <c r="I26" s="216">
        <v>7</v>
      </c>
      <c r="J26" s="217"/>
      <c r="K26" s="218"/>
      <c r="L26" s="218">
        <f t="shared" si="33"/>
      </c>
      <c r="M26" s="191">
        <f t="shared" si="2"/>
      </c>
      <c r="N26" s="194">
        <f t="shared" si="55"/>
        <v>37930.464</v>
      </c>
      <c r="O26" s="291">
        <f t="shared" si="56"/>
        <v>198869.688</v>
      </c>
      <c r="P26" s="286">
        <f>IF(ISERROR(IF(AND(C26="◎",YEAR(AW26)&lt;1999),VLOOKUP(AS26,テーブル!$S$8:$W$106,2,0),"")),"",IF(AND(C26="◎",YEAR(AW26)&lt;1999),VLOOKUP(AS26,テーブル!$S$8:$W$106,2,0),""))</f>
      </c>
      <c r="Q26" s="276">
        <f t="shared" si="34"/>
      </c>
      <c r="R26" s="278">
        <f t="shared" si="35"/>
        <v>0</v>
      </c>
      <c r="S26" s="274" t="e">
        <f t="shared" si="3"/>
        <v>#VALUE!</v>
      </c>
      <c r="T26" s="276">
        <f>IF(AN26="旧定額",VLOOKUP(H26,[0]!旧償却率,2,0),IF(ISERROR(VLOOKUP(H26,[0]!新償却率,2,0)),"",IF(U26=0,"",VLOOKUP(H26,[0]!新償却率,2,0))))</f>
      </c>
      <c r="U26" s="274">
        <f t="shared" si="36"/>
        <v>0</v>
      </c>
      <c r="V26" s="274">
        <f t="shared" si="76"/>
      </c>
      <c r="W26" s="274">
        <f t="shared" si="5"/>
        <v>0</v>
      </c>
      <c r="X26" s="378" t="e">
        <f>IF(AN26="旧定額",T26,VLOOKUP(H26,テーブル!$C$8:$D$106,2,0))</f>
        <v>#N/A</v>
      </c>
      <c r="Y26" s="274" t="e">
        <f t="shared" si="6"/>
        <v>#N/A</v>
      </c>
      <c r="Z26" s="274"/>
      <c r="AA26" s="276">
        <f>IF(ISERROR(VLOOKUP(I26,テーブル!$S$8:$W$106,2,0)),"",IF(AN26="旧定額",VLOOKUP(I26,テーブル!$S$8:$W$106,2,0),VLOOKUP(I26,テーブル!$C$8:$D$106,2,0)))</f>
        <v>0.143</v>
      </c>
      <c r="AB26" s="236">
        <f t="shared" si="37"/>
      </c>
      <c r="AC26" s="232"/>
      <c r="AD26" s="232"/>
      <c r="AE26" s="232"/>
      <c r="AF26" s="232"/>
      <c r="AG26" s="232"/>
      <c r="AH26" s="232"/>
      <c r="AI26" s="270"/>
      <c r="AJ26" s="270"/>
      <c r="AK26" s="270"/>
      <c r="AL26" s="270"/>
      <c r="AM26" s="233"/>
      <c r="AN26" s="248" t="str">
        <f t="shared" si="7"/>
        <v>新定額</v>
      </c>
      <c r="AO26" s="248">
        <f t="shared" si="8"/>
      </c>
      <c r="AP26" s="248">
        <f>IF(AO26&lt;&gt;"",INT(G26-VLOOKUP(H26,テーブル!$S$8:$W$106,4,0)*AO26*G26/1000000),"")</f>
      </c>
      <c r="AQ26" s="248">
        <f t="shared" si="9"/>
      </c>
      <c r="AR26" s="248">
        <f t="shared" si="10"/>
      </c>
      <c r="AS26" s="248">
        <f>IF(AR26&lt;0,"",IF(AR26&lt;&gt;"",VLOOKUP(H26,テーブル!$Q$8:$W$106,2,0),""))</f>
      </c>
      <c r="AT26" s="248">
        <f>IF(AS26&lt;&gt;"",G26-VLOOKUP(AS26,テーブル!$S$8:$W$106,4,0)*AR26*G26/1000000,G26)</f>
        <v>265248</v>
      </c>
      <c r="AU26" s="268" t="e">
        <f>IF(AS26&lt;&gt;"",AT26-VLOOKUP(H26,テーブル!$S$8:$W$106,4,0)*(AO26-AR26)*G26/1000000,AT26-VLOOKUP(H26,テーブル!$S$8:$W$106,4,0)*(AO26)*G26/1000000)</f>
        <v>#N/A</v>
      </c>
      <c r="AV26" s="284">
        <f t="shared" si="61"/>
        <v>0</v>
      </c>
      <c r="AW26" s="249">
        <f t="shared" si="11"/>
        <v>43191</v>
      </c>
      <c r="AX26" s="248">
        <f t="shared" si="63"/>
      </c>
      <c r="AY26" s="248">
        <f>IF(AV26&lt;&gt;0,IF(AV26&gt;INT(G26*0.05),(VLOOKUP(H26,テーブル!$S$2:T119,2,0)*G26*0.9),IF(AV26=INT(G26*0.05),INT((AV26-1)/5),0)),"")</f>
      </c>
      <c r="AZ26" s="248">
        <f t="shared" si="12"/>
      </c>
      <c r="BA26" s="248">
        <f t="shared" si="65"/>
      </c>
      <c r="BB26" s="248">
        <f t="shared" si="66"/>
      </c>
      <c r="BC26" s="248">
        <f t="shared" si="15"/>
      </c>
      <c r="BD26" s="261">
        <f t="shared" si="0"/>
      </c>
      <c r="BE26" s="248">
        <f t="shared" si="67"/>
      </c>
      <c r="BF26" s="248">
        <f t="shared" si="68"/>
      </c>
      <c r="BG26" s="248">
        <f t="shared" si="18"/>
      </c>
      <c r="BH26" s="248">
        <f t="shared" si="69"/>
      </c>
      <c r="BI26" s="248">
        <f t="shared" si="38"/>
      </c>
      <c r="BJ26" s="248">
        <f t="shared" si="70"/>
      </c>
      <c r="BK26" s="263">
        <f t="shared" si="75"/>
      </c>
      <c r="BL26" s="251">
        <f t="shared" si="39"/>
      </c>
      <c r="BM26" s="248">
        <f t="shared" si="21"/>
        <v>201804</v>
      </c>
      <c r="BN26" s="379">
        <f t="shared" si="77"/>
        <v>-111</v>
      </c>
      <c r="BO26" s="380">
        <f t="shared" si="23"/>
        <v>0</v>
      </c>
      <c r="BP26" s="248">
        <f t="shared" si="57"/>
        <v>265248</v>
      </c>
      <c r="BQ26" s="248">
        <f t="shared" si="24"/>
        <v>3160.872</v>
      </c>
      <c r="BR26" s="248">
        <f t="shared" si="62"/>
        <v>21</v>
      </c>
      <c r="BS26" s="392">
        <f t="shared" si="40"/>
        <v>236800.152</v>
      </c>
      <c r="BT26" s="392" t="str">
        <f t="shared" si="41"/>
        <v>通常回</v>
      </c>
      <c r="BU26" s="338">
        <f t="shared" si="71"/>
        <v>37930.464</v>
      </c>
      <c r="BV26" s="251">
        <f t="shared" si="72"/>
        <v>198869.688</v>
      </c>
      <c r="BW26" s="339">
        <f t="shared" si="73"/>
        <v>37930.464</v>
      </c>
      <c r="BX26" s="338">
        <f t="shared" si="74"/>
        <v>198869.688</v>
      </c>
      <c r="BY26" s="338">
        <f t="shared" si="42"/>
        <v>37930.464</v>
      </c>
      <c r="BZ26" s="341">
        <f t="shared" si="43"/>
        <v>37930.464</v>
      </c>
      <c r="CA26" s="346">
        <f t="shared" si="44"/>
        <v>198869.688</v>
      </c>
      <c r="CB26" s="251">
        <f t="shared" si="45"/>
        <v>198869.688</v>
      </c>
      <c r="CC26" s="248"/>
      <c r="CD26" s="233"/>
      <c r="CE26" s="233"/>
      <c r="CF26" s="233"/>
      <c r="CG26" s="233"/>
      <c r="CH26" s="233"/>
      <c r="CI26" s="233"/>
      <c r="CJ26" s="233"/>
      <c r="CK26" s="233"/>
      <c r="CL26" s="233"/>
      <c r="CM26" s="233"/>
      <c r="CN26" s="120"/>
      <c r="CO26" s="73">
        <v>20</v>
      </c>
      <c r="CP26" s="74" t="str">
        <f t="shared" si="46"/>
        <v>ヤンマーテイラYK650</v>
      </c>
      <c r="CQ26" s="82">
        <f t="shared" si="47"/>
      </c>
      <c r="CR26" s="83" t="str">
        <f t="shared" si="48"/>
        <v>H30</v>
      </c>
      <c r="CS26" s="83">
        <f t="shared" si="49"/>
        <v>4</v>
      </c>
      <c r="CT26" s="86">
        <f t="shared" si="50"/>
      </c>
      <c r="CU26" s="85">
        <f t="shared" si="51"/>
        <v>265248</v>
      </c>
      <c r="CV26" s="85">
        <f t="shared" si="29"/>
        <v>265248</v>
      </c>
      <c r="CW26" s="229" t="str">
        <f t="shared" si="52"/>
        <v>新定額</v>
      </c>
      <c r="CX26" s="302">
        <f t="shared" si="58"/>
        <v>7</v>
      </c>
      <c r="CY26" s="340">
        <f t="shared" si="30"/>
        <v>0.143</v>
      </c>
      <c r="CZ26" s="79">
        <f t="shared" si="53"/>
        <v>12</v>
      </c>
      <c r="DA26" s="80" t="str">
        <f t="shared" si="54"/>
        <v>/12</v>
      </c>
      <c r="DB26" s="343">
        <f t="shared" si="59"/>
        <v>37930</v>
      </c>
      <c r="DC26" s="87" t="str">
        <f t="shared" si="31"/>
        <v>100%</v>
      </c>
      <c r="DD26" s="85">
        <f t="shared" si="64"/>
        <v>37930</v>
      </c>
      <c r="DE26" s="343">
        <f t="shared" si="60"/>
        <v>198870</v>
      </c>
      <c r="DF26" s="306">
        <f t="shared" si="32"/>
      </c>
      <c r="DH26" s="388"/>
      <c r="DI26" s="383"/>
      <c r="DJ26" s="383"/>
      <c r="DO26" s="120">
        <v>26</v>
      </c>
      <c r="DP26" s="120" t="s">
        <v>124</v>
      </c>
      <c r="DR26" s="120">
        <v>1951</v>
      </c>
    </row>
    <row r="27" spans="1:122" ht="13.5" customHeight="1">
      <c r="A27" s="292">
        <v>21</v>
      </c>
      <c r="B27" s="211" t="s">
        <v>639</v>
      </c>
      <c r="C27" s="212"/>
      <c r="D27" s="213"/>
      <c r="E27" s="214" t="s">
        <v>12</v>
      </c>
      <c r="F27" s="214">
        <v>3</v>
      </c>
      <c r="G27" s="215">
        <v>350000</v>
      </c>
      <c r="H27" s="216"/>
      <c r="I27" s="216">
        <v>10</v>
      </c>
      <c r="J27" s="217"/>
      <c r="K27" s="218"/>
      <c r="L27" s="218">
        <f t="shared" si="33"/>
      </c>
      <c r="M27" s="191">
        <f t="shared" si="2"/>
      </c>
      <c r="N27" s="194">
        <f t="shared" si="55"/>
        <v>35000</v>
      </c>
      <c r="O27" s="291">
        <f t="shared" si="56"/>
        <v>5833.333333333314</v>
      </c>
      <c r="P27" s="286">
        <f>IF(ISERROR(IF(AND(C27="◎",YEAR(AW27)&lt;1999),VLOOKUP(AS27,テーブル!$S$8:$W$106,2,0),"")),"",IF(AND(C27="◎",YEAR(AW27)&lt;1999),VLOOKUP(AS27,テーブル!$S$8:$W$106,2,0),""))</f>
      </c>
      <c r="Q27" s="276">
        <f t="shared" si="34"/>
      </c>
      <c r="R27" s="278">
        <f t="shared" si="35"/>
        <v>0</v>
      </c>
      <c r="S27" s="274" t="e">
        <f t="shared" si="3"/>
        <v>#VALUE!</v>
      </c>
      <c r="T27" s="276">
        <f>IF(AN27="旧定額",VLOOKUP(H27,[0]!旧償却率,2,0),IF(ISERROR(VLOOKUP(H27,[0]!新償却率,2,0)),"",IF(U27=0,"",VLOOKUP(H27,[0]!新償却率,2,0))))</f>
      </c>
      <c r="U27" s="274">
        <f t="shared" si="36"/>
        <v>0</v>
      </c>
      <c r="V27" s="274">
        <f t="shared" si="76"/>
      </c>
      <c r="W27" s="274">
        <f t="shared" si="5"/>
        <v>0</v>
      </c>
      <c r="X27" s="378" t="e">
        <f>IF(AN27="旧定額",T27,VLOOKUP(H27,テーブル!$C$8:$D$106,2,0))</f>
        <v>#N/A</v>
      </c>
      <c r="Y27" s="274" t="e">
        <f t="shared" si="6"/>
        <v>#N/A</v>
      </c>
      <c r="Z27" s="274"/>
      <c r="AA27" s="276">
        <f>IF(ISERROR(VLOOKUP(I27,テーブル!$S$8:$W$106,2,0)),"",IF(AN27="旧定額",VLOOKUP(I27,テーブル!$S$8:$W$106,2,0),VLOOKUP(I27,テーブル!$C$8:$D$106,2,0)))</f>
        <v>0.1</v>
      </c>
      <c r="AB27" s="236">
        <f t="shared" si="37"/>
      </c>
      <c r="AC27" s="232"/>
      <c r="AD27" s="232"/>
      <c r="AE27" s="232"/>
      <c r="AF27" s="232"/>
      <c r="AG27" s="232"/>
      <c r="AH27" s="232"/>
      <c r="AI27" s="270"/>
      <c r="AJ27" s="270"/>
      <c r="AK27" s="270"/>
      <c r="AL27" s="270"/>
      <c r="AM27" s="233"/>
      <c r="AN27" s="248" t="str">
        <f t="shared" si="7"/>
        <v>新定額</v>
      </c>
      <c r="AO27" s="248">
        <f t="shared" si="8"/>
      </c>
      <c r="AP27" s="248">
        <f>IF(AO27&lt;&gt;"",INT(G27-VLOOKUP(H27,テーブル!$S$8:$W$106,4,0)*AO27*G27/1000000),"")</f>
      </c>
      <c r="AQ27" s="248">
        <f t="shared" si="9"/>
      </c>
      <c r="AR27" s="248">
        <f t="shared" si="10"/>
      </c>
      <c r="AS27" s="248">
        <f>IF(AR27&lt;0,"",IF(AR27&lt;&gt;"",VLOOKUP(H27,テーブル!$Q$8:$W$106,2,0),""))</f>
      </c>
      <c r="AT27" s="248">
        <f>IF(AS27&lt;&gt;"",G27-VLOOKUP(AS27,テーブル!$S$8:$W$106,4,0)*AR27*G27/1000000,G27)</f>
        <v>350000</v>
      </c>
      <c r="AU27" s="268" t="e">
        <f>IF(AS27&lt;&gt;"",AT27-VLOOKUP(H27,テーブル!$S$8:$W$106,4,0)*(AO27-AR27)*G27/1000000,AT27-VLOOKUP(H27,テーブル!$S$8:$W$106,4,0)*(AO27)*G27/1000000)</f>
        <v>#N/A</v>
      </c>
      <c r="AV27" s="284">
        <f t="shared" si="61"/>
        <v>0</v>
      </c>
      <c r="AW27" s="249">
        <f t="shared" si="11"/>
        <v>40238</v>
      </c>
      <c r="AX27" s="248">
        <f t="shared" si="63"/>
      </c>
      <c r="AY27" s="248">
        <f>IF(AV27&lt;&gt;0,IF(AV27&gt;INT(G27*0.05),(VLOOKUP(H27,テーブル!$S$2:T120,2,0)*G27*0.9),IF(AV27=INT(G27*0.05),INT((AV27-1)/5),0)),"")</f>
      </c>
      <c r="AZ27" s="248">
        <f t="shared" si="12"/>
      </c>
      <c r="BA27" s="248">
        <f t="shared" si="65"/>
      </c>
      <c r="BB27" s="248">
        <f t="shared" si="66"/>
      </c>
      <c r="BC27" s="248">
        <f t="shared" si="15"/>
      </c>
      <c r="BD27" s="261">
        <f t="shared" si="0"/>
      </c>
      <c r="BE27" s="248">
        <f t="shared" si="67"/>
      </c>
      <c r="BF27" s="248">
        <f t="shared" si="68"/>
      </c>
      <c r="BG27" s="248">
        <f t="shared" si="18"/>
      </c>
      <c r="BH27" s="248">
        <f t="shared" si="69"/>
      </c>
      <c r="BI27" s="248">
        <f t="shared" si="38"/>
      </c>
      <c r="BJ27" s="248">
        <f t="shared" si="70"/>
      </c>
      <c r="BK27" s="263">
        <f t="shared" si="75"/>
      </c>
      <c r="BL27" s="251">
        <f t="shared" si="39"/>
      </c>
      <c r="BM27" s="248">
        <f t="shared" si="21"/>
        <v>201003</v>
      </c>
      <c r="BN27" s="379">
        <f t="shared" si="77"/>
        <v>-14</v>
      </c>
      <c r="BO27" s="380">
        <f t="shared" si="23"/>
        <v>0</v>
      </c>
      <c r="BP27" s="248">
        <f t="shared" si="57"/>
        <v>350000</v>
      </c>
      <c r="BQ27" s="248">
        <f t="shared" si="24"/>
        <v>2916.666666666667</v>
      </c>
      <c r="BR27" s="248">
        <f t="shared" si="62"/>
        <v>118</v>
      </c>
      <c r="BS27" s="392">
        <f t="shared" si="40"/>
        <v>40833.333333333314</v>
      </c>
      <c r="BT27" s="392" t="str">
        <f t="shared" si="41"/>
        <v>通常回</v>
      </c>
      <c r="BU27" s="338">
        <f t="shared" si="71"/>
        <v>35000</v>
      </c>
      <c r="BV27" s="251">
        <f t="shared" si="72"/>
        <v>5833.333333333314</v>
      </c>
      <c r="BW27" s="339">
        <f t="shared" si="73"/>
        <v>35000</v>
      </c>
      <c r="BX27" s="338">
        <f t="shared" si="74"/>
        <v>5833.333333333314</v>
      </c>
      <c r="BY27" s="338">
        <f t="shared" si="42"/>
        <v>35000</v>
      </c>
      <c r="BZ27" s="341">
        <f t="shared" si="43"/>
        <v>35000</v>
      </c>
      <c r="CA27" s="346">
        <f t="shared" si="44"/>
        <v>5833.333333333314</v>
      </c>
      <c r="CB27" s="251">
        <f t="shared" si="45"/>
        <v>5833.333333333314</v>
      </c>
      <c r="CC27" s="248"/>
      <c r="CD27" s="233"/>
      <c r="CE27" s="233"/>
      <c r="CF27" s="233"/>
      <c r="CG27" s="233"/>
      <c r="CH27" s="233"/>
      <c r="CI27" s="233"/>
      <c r="CJ27" s="233"/>
      <c r="CK27" s="233"/>
      <c r="CL27" s="233"/>
      <c r="CM27" s="233"/>
      <c r="CN27" s="120"/>
      <c r="CO27" s="70">
        <v>21</v>
      </c>
      <c r="CP27" s="74" t="str">
        <f t="shared" si="46"/>
        <v>育苗ﾊｳｽ</v>
      </c>
      <c r="CQ27" s="82">
        <f t="shared" si="47"/>
      </c>
      <c r="CR27" s="83" t="str">
        <f t="shared" si="48"/>
        <v>H22</v>
      </c>
      <c r="CS27" s="83">
        <f t="shared" si="49"/>
        <v>3</v>
      </c>
      <c r="CT27" s="86">
        <f t="shared" si="50"/>
      </c>
      <c r="CU27" s="85">
        <f t="shared" si="51"/>
        <v>350000</v>
      </c>
      <c r="CV27" s="85">
        <f t="shared" si="29"/>
        <v>350000</v>
      </c>
      <c r="CW27" s="229" t="str">
        <f t="shared" si="52"/>
        <v>新定額</v>
      </c>
      <c r="CX27" s="302">
        <f t="shared" si="58"/>
        <v>10</v>
      </c>
      <c r="CY27" s="340">
        <f t="shared" si="30"/>
        <v>0.1</v>
      </c>
      <c r="CZ27" s="79">
        <f t="shared" si="53"/>
        <v>12</v>
      </c>
      <c r="DA27" s="80" t="str">
        <f t="shared" si="54"/>
        <v>/12</v>
      </c>
      <c r="DB27" s="343">
        <f t="shared" si="59"/>
        <v>35000</v>
      </c>
      <c r="DC27" s="87" t="str">
        <f t="shared" si="31"/>
        <v>100%</v>
      </c>
      <c r="DD27" s="85">
        <f t="shared" si="64"/>
        <v>35000</v>
      </c>
      <c r="DE27" s="343">
        <f t="shared" si="60"/>
        <v>5833</v>
      </c>
      <c r="DF27" s="306">
        <f t="shared" si="32"/>
      </c>
      <c r="DH27" s="388"/>
      <c r="DI27" s="383"/>
      <c r="DJ27" s="383"/>
      <c r="DO27" s="120">
        <v>27</v>
      </c>
      <c r="DP27" s="120" t="s">
        <v>125</v>
      </c>
      <c r="DR27" s="120">
        <v>1952</v>
      </c>
    </row>
    <row r="28" spans="1:122" ht="13.5" customHeight="1">
      <c r="A28" s="290">
        <v>22</v>
      </c>
      <c r="B28" s="211" t="s">
        <v>652</v>
      </c>
      <c r="C28" s="212"/>
      <c r="D28" s="213"/>
      <c r="E28" s="214" t="s">
        <v>653</v>
      </c>
      <c r="F28" s="214">
        <v>4</v>
      </c>
      <c r="G28" s="215">
        <v>1080000</v>
      </c>
      <c r="H28" s="216"/>
      <c r="I28" s="216">
        <v>7</v>
      </c>
      <c r="J28" s="217"/>
      <c r="K28" s="218"/>
      <c r="L28" s="218">
        <f t="shared" si="33"/>
      </c>
      <c r="M28" s="191">
        <f t="shared" si="2"/>
      </c>
      <c r="N28" s="194">
        <f t="shared" si="55"/>
        <v>115830</v>
      </c>
      <c r="O28" s="291">
        <f t="shared" si="56"/>
        <v>964170</v>
      </c>
      <c r="P28" s="286">
        <f>IF(ISERROR(IF(AND(C28="◎",YEAR(AW28)&lt;1999),VLOOKUP(AS28,テーブル!$S$8:$W$106,2,0),"")),"",IF(AND(C28="◎",YEAR(AW28)&lt;1999),VLOOKUP(AS28,テーブル!$S$8:$W$106,2,0),""))</f>
      </c>
      <c r="Q28" s="276">
        <f t="shared" si="34"/>
      </c>
      <c r="R28" s="278">
        <f t="shared" si="35"/>
        <v>0</v>
      </c>
      <c r="S28" s="274" t="e">
        <f t="shared" si="3"/>
        <v>#VALUE!</v>
      </c>
      <c r="T28" s="276">
        <f>IF(AN28="旧定額",VLOOKUP(H28,[0]!旧償却率,2,0),IF(ISERROR(VLOOKUP(H28,[0]!新償却率,2,0)),"",IF(U28=0,"",VLOOKUP(H28,[0]!新償却率,2,0))))</f>
      </c>
      <c r="U28" s="274">
        <f t="shared" si="36"/>
        <v>0</v>
      </c>
      <c r="V28" s="274">
        <f t="shared" si="76"/>
      </c>
      <c r="W28" s="274">
        <f t="shared" si="5"/>
        <v>0</v>
      </c>
      <c r="X28" s="378" t="e">
        <f>IF(AN28="旧定額",T28,VLOOKUP(H28,テーブル!$C$8:$D$106,2,0))</f>
        <v>#N/A</v>
      </c>
      <c r="Y28" s="274" t="e">
        <f t="shared" si="6"/>
        <v>#N/A</v>
      </c>
      <c r="Z28" s="274"/>
      <c r="AA28" s="276">
        <f>IF(ISERROR(VLOOKUP(I28,テーブル!$S$8:$W$106,2,0)),"",IF(AN28="旧定額",VLOOKUP(I28,テーブル!$S$8:$W$106,2,0),VLOOKUP(I28,テーブル!$C$8:$D$106,2,0)))</f>
        <v>0.143</v>
      </c>
      <c r="AB28" s="236">
        <f t="shared" si="37"/>
      </c>
      <c r="AC28" s="232"/>
      <c r="AD28" s="232"/>
      <c r="AE28" s="232"/>
      <c r="AF28" s="232"/>
      <c r="AG28" s="232"/>
      <c r="AH28" s="232"/>
      <c r="AI28" s="270"/>
      <c r="AJ28" s="270"/>
      <c r="AK28" s="270"/>
      <c r="AL28" s="270"/>
      <c r="AM28" s="233"/>
      <c r="AN28" s="248" t="str">
        <f t="shared" si="7"/>
        <v>新定額</v>
      </c>
      <c r="AO28" s="248">
        <f t="shared" si="8"/>
      </c>
      <c r="AP28" s="248">
        <f>IF(AO28&lt;&gt;"",INT(G28-VLOOKUP(H28,テーブル!$S$8:$W$106,4,0)*AO28*G28/1000000),"")</f>
      </c>
      <c r="AQ28" s="248">
        <f t="shared" si="9"/>
      </c>
      <c r="AR28" s="248">
        <f t="shared" si="10"/>
      </c>
      <c r="AS28" s="248">
        <f>IF(AR28&lt;0,"",IF(AR28&lt;&gt;"",VLOOKUP(H28,テーブル!$Q$8:$W$106,2,0),""))</f>
      </c>
      <c r="AT28" s="248">
        <f>IF(AS28&lt;&gt;"",G28-VLOOKUP(AS28,テーブル!$S$8:$W$106,4,0)*AR28*G28/1000000,G28)</f>
        <v>1080000</v>
      </c>
      <c r="AU28" s="268" t="e">
        <f>IF(AS28&lt;&gt;"",AT28-VLOOKUP(H28,テーブル!$S$8:$W$106,4,0)*(AO28-AR28)*G28/1000000,AT28-VLOOKUP(H28,テーブル!$S$8:$W$106,4,0)*(AO28)*G28/1000000)</f>
        <v>#N/A</v>
      </c>
      <c r="AV28" s="284">
        <f t="shared" si="61"/>
        <v>0</v>
      </c>
      <c r="AW28" s="249">
        <f t="shared" si="11"/>
        <v>43556</v>
      </c>
      <c r="AX28" s="248">
        <f t="shared" si="63"/>
      </c>
      <c r="AY28" s="248">
        <f>IF(AV28&lt;&gt;0,IF(AV28&gt;INT(G28*0.05),(VLOOKUP(H28,テーブル!$S$2:T121,2,0)*G28*0.9),IF(AV28=INT(G28*0.05),INT((AV28-1)/5),0)),"")</f>
      </c>
      <c r="AZ28" s="248">
        <f t="shared" si="12"/>
      </c>
      <c r="BA28" s="248">
        <f t="shared" si="65"/>
      </c>
      <c r="BB28" s="248">
        <f t="shared" si="66"/>
      </c>
      <c r="BC28" s="248">
        <f t="shared" si="15"/>
      </c>
      <c r="BD28" s="261">
        <f t="shared" si="0"/>
      </c>
      <c r="BE28" s="248">
        <f t="shared" si="67"/>
      </c>
      <c r="BF28" s="248">
        <f t="shared" si="68"/>
      </c>
      <c r="BG28" s="248">
        <f t="shared" si="18"/>
      </c>
      <c r="BH28" s="248">
        <f t="shared" si="69"/>
      </c>
      <c r="BI28" s="248">
        <f t="shared" si="38"/>
      </c>
      <c r="BJ28" s="248">
        <f t="shared" si="70"/>
      </c>
      <c r="BK28" s="263">
        <f t="shared" si="75"/>
      </c>
      <c r="BL28" s="251">
        <f t="shared" si="39"/>
      </c>
      <c r="BM28" s="248">
        <f t="shared" si="21"/>
        <v>201904</v>
      </c>
      <c r="BN28" s="379">
        <f t="shared" si="77"/>
        <v>-123</v>
      </c>
      <c r="BO28" s="380">
        <f t="shared" si="23"/>
        <v>0</v>
      </c>
      <c r="BP28" s="248">
        <f t="shared" si="57"/>
        <v>1080000</v>
      </c>
      <c r="BQ28" s="248">
        <f t="shared" si="24"/>
        <v>12870</v>
      </c>
      <c r="BR28" s="248">
        <f t="shared" si="62"/>
        <v>9</v>
      </c>
      <c r="BS28" s="392">
        <f t="shared" si="40"/>
        <v>1080000</v>
      </c>
      <c r="BT28" s="392" t="str">
        <f t="shared" si="41"/>
        <v>初回</v>
      </c>
      <c r="BU28" s="338">
        <f t="shared" si="71"/>
        <v>115830</v>
      </c>
      <c r="BV28" s="251">
        <f t="shared" si="72"/>
        <v>964170</v>
      </c>
      <c r="BW28" s="339">
        <f t="shared" si="73"/>
        <v>115830</v>
      </c>
      <c r="BX28" s="338">
        <f t="shared" si="74"/>
        <v>964170</v>
      </c>
      <c r="BY28" s="338">
        <f t="shared" si="42"/>
        <v>115830</v>
      </c>
      <c r="BZ28" s="341">
        <f t="shared" si="43"/>
        <v>115830</v>
      </c>
      <c r="CA28" s="346">
        <f t="shared" si="44"/>
        <v>964170</v>
      </c>
      <c r="CB28" s="251">
        <f t="shared" si="45"/>
        <v>964170</v>
      </c>
      <c r="CC28" s="248"/>
      <c r="CD28" s="233"/>
      <c r="CE28" s="233"/>
      <c r="CF28" s="233"/>
      <c r="CG28" s="233"/>
      <c r="CH28" s="233"/>
      <c r="CI28" s="233"/>
      <c r="CJ28" s="233"/>
      <c r="CK28" s="233"/>
      <c r="CL28" s="233"/>
      <c r="CM28" s="233"/>
      <c r="CN28" s="120"/>
      <c r="CO28" s="73">
        <v>22</v>
      </c>
      <c r="CP28" s="74" t="str">
        <f t="shared" si="46"/>
        <v>リフト</v>
      </c>
      <c r="CQ28" s="82">
        <f t="shared" si="47"/>
      </c>
      <c r="CR28" s="83" t="str">
        <f t="shared" si="48"/>
        <v>h31</v>
      </c>
      <c r="CS28" s="83">
        <f t="shared" si="49"/>
        <v>4</v>
      </c>
      <c r="CT28" s="86">
        <f t="shared" si="50"/>
      </c>
      <c r="CU28" s="85">
        <f t="shared" si="51"/>
        <v>1080000</v>
      </c>
      <c r="CV28" s="85">
        <f t="shared" si="29"/>
        <v>1080000</v>
      </c>
      <c r="CW28" s="229" t="str">
        <f t="shared" si="52"/>
        <v>新定額</v>
      </c>
      <c r="CX28" s="302">
        <f t="shared" si="58"/>
        <v>7</v>
      </c>
      <c r="CY28" s="340">
        <f t="shared" si="30"/>
        <v>0.143</v>
      </c>
      <c r="CZ28" s="79">
        <f t="shared" si="53"/>
        <v>12</v>
      </c>
      <c r="DA28" s="80" t="str">
        <f t="shared" si="54"/>
        <v>/12</v>
      </c>
      <c r="DB28" s="343">
        <f t="shared" si="59"/>
        <v>115830</v>
      </c>
      <c r="DC28" s="87" t="str">
        <f t="shared" si="31"/>
        <v>100%</v>
      </c>
      <c r="DD28" s="85">
        <f t="shared" si="64"/>
        <v>115830</v>
      </c>
      <c r="DE28" s="343">
        <f t="shared" si="60"/>
        <v>964170</v>
      </c>
      <c r="DF28" s="306">
        <f t="shared" si="32"/>
      </c>
      <c r="DH28" s="388"/>
      <c r="DI28" s="383"/>
      <c r="DJ28" s="383"/>
      <c r="DO28" s="120">
        <v>28</v>
      </c>
      <c r="DP28" s="120" t="s">
        <v>126</v>
      </c>
      <c r="DR28" s="120">
        <v>1953</v>
      </c>
    </row>
    <row r="29" spans="1:122" ht="13.5" customHeight="1">
      <c r="A29" s="292">
        <v>23</v>
      </c>
      <c r="B29" s="211" t="s">
        <v>57</v>
      </c>
      <c r="C29" s="212"/>
      <c r="D29" s="213"/>
      <c r="E29" s="214">
        <v>1</v>
      </c>
      <c r="F29" s="214">
        <v>12</v>
      </c>
      <c r="G29" s="215">
        <v>550000</v>
      </c>
      <c r="H29" s="216">
        <v>7</v>
      </c>
      <c r="I29" s="216">
        <v>7</v>
      </c>
      <c r="J29" s="217"/>
      <c r="K29" s="218"/>
      <c r="L29" s="218">
        <f t="shared" si="33"/>
      </c>
      <c r="M29" s="191">
        <f t="shared" si="2"/>
      </c>
      <c r="N29" s="194">
        <f t="shared" si="55"/>
        <v>6554.166666666666</v>
      </c>
      <c r="O29" s="291">
        <f t="shared" si="56"/>
        <v>543445.8333333334</v>
      </c>
      <c r="P29" s="286">
        <f>IF(ISERROR(IF(AND(C29="◎",YEAR(AW29)&lt;1999),VLOOKUP(AS29,テーブル!$S$8:$W$106,2,0),"")),"",IF(AND(C29="◎",YEAR(AW29)&lt;1999),VLOOKUP(AS29,テーブル!$S$8:$W$106,2,0),""))</f>
      </c>
      <c r="Q29" s="276">
        <f t="shared" si="34"/>
      </c>
      <c r="R29" s="278">
        <f t="shared" si="35"/>
        <v>0</v>
      </c>
      <c r="S29" s="274" t="e">
        <f t="shared" si="3"/>
        <v>#VALUE!</v>
      </c>
      <c r="T29" s="276">
        <f>IF(AN29="旧定額",VLOOKUP(H29,[0]!旧償却率,2,0),IF(ISERROR(VLOOKUP(H29,[0]!新償却率,2,0)),"",IF(U29=0,"",VLOOKUP(H29,[0]!新償却率,2,0))))</f>
      </c>
      <c r="U29" s="274">
        <f t="shared" si="36"/>
        <v>0</v>
      </c>
      <c r="V29" s="274">
        <f t="shared" si="76"/>
      </c>
      <c r="W29" s="274">
        <f t="shared" si="5"/>
        <v>0</v>
      </c>
      <c r="X29" s="378">
        <f>IF(AN29="旧定額",T29,VLOOKUP(H29,テーブル!$C$8:$D$106,2,0))</f>
        <v>0.143</v>
      </c>
      <c r="Y29" s="274">
        <f t="shared" si="6"/>
        <v>78650</v>
      </c>
      <c r="Z29" s="274"/>
      <c r="AA29" s="276">
        <f>IF(ISERROR(VLOOKUP(I29,テーブル!$S$8:$W$106,2,0)),"",IF(AN29="旧定額",VLOOKUP(I29,テーブル!$S$8:$W$106,2,0),VLOOKUP(I29,テーブル!$C$8:$D$106,2,0)))</f>
        <v>0.143</v>
      </c>
      <c r="AB29" s="236" t="str">
        <f t="shared" si="37"/>
        <v>　7年</v>
      </c>
      <c r="AC29" s="232"/>
      <c r="AD29" s="232"/>
      <c r="AE29" s="232"/>
      <c r="AF29" s="232"/>
      <c r="AG29" s="232"/>
      <c r="AH29" s="232"/>
      <c r="AI29" s="270"/>
      <c r="AJ29" s="270"/>
      <c r="AK29" s="270"/>
      <c r="AL29" s="270"/>
      <c r="AM29" s="233"/>
      <c r="AN29" s="248" t="str">
        <f t="shared" si="7"/>
        <v>新定額</v>
      </c>
      <c r="AO29" s="248">
        <f t="shared" si="8"/>
      </c>
      <c r="AP29" s="248">
        <f>IF(AO29&lt;&gt;"",INT(G29-VLOOKUP(H29,テーブル!$S$8:$W$106,4,0)*AO29*G29/1000000),"")</f>
      </c>
      <c r="AQ29" s="248">
        <f t="shared" si="9"/>
      </c>
      <c r="AR29" s="248">
        <f t="shared" si="10"/>
      </c>
      <c r="AS29" s="248">
        <f>IF(AR29&lt;0,"",IF(AR29&lt;&gt;"",VLOOKUP(H29,テーブル!$Q$8:$W$106,2,0),""))</f>
      </c>
      <c r="AT29" s="248">
        <f>IF(AS29&lt;&gt;"",G29-VLOOKUP(AS29,テーブル!$S$8:$W$106,4,0)*AR29*G29/1000000,G29)</f>
        <v>550000</v>
      </c>
      <c r="AU29" s="268" t="e">
        <f>IF(AS29&lt;&gt;"",AT29-VLOOKUP(H29,テーブル!$S$8:$W$106,4,0)*(AO29-AR29)*G29/1000000,AT29-VLOOKUP(H29,テーブル!$S$8:$W$106,4,0)*(AO29)*G29/1000000)</f>
        <v>#VALUE!</v>
      </c>
      <c r="AV29" s="284">
        <f t="shared" si="61"/>
        <v>0</v>
      </c>
      <c r="AW29" s="249">
        <f t="shared" si="11"/>
        <v>43800</v>
      </c>
      <c r="AX29" s="248">
        <f t="shared" si="63"/>
      </c>
      <c r="AY29" s="248">
        <f>IF(AV29&lt;&gt;0,IF(AV29&gt;INT(G29*0.05),(VLOOKUP(H29,テーブル!$S$2:T122,2,0)*G29*0.9),IF(AV29=INT(G29*0.05),INT((AV29-1)/5),0)),"")</f>
      </c>
      <c r="AZ29" s="248">
        <f t="shared" si="12"/>
      </c>
      <c r="BA29" s="248">
        <f t="shared" si="65"/>
      </c>
      <c r="BB29" s="248">
        <f t="shared" si="66"/>
      </c>
      <c r="BC29" s="248">
        <f t="shared" si="15"/>
      </c>
      <c r="BD29" s="261">
        <f t="shared" si="0"/>
      </c>
      <c r="BE29" s="248">
        <f t="shared" si="67"/>
      </c>
      <c r="BF29" s="248">
        <f t="shared" si="68"/>
      </c>
      <c r="BG29" s="248">
        <f t="shared" si="18"/>
      </c>
      <c r="BH29" s="248">
        <f t="shared" si="69"/>
      </c>
      <c r="BI29" s="248">
        <f t="shared" si="38"/>
      </c>
      <c r="BJ29" s="248">
        <f t="shared" si="70"/>
      </c>
      <c r="BK29" s="263">
        <f t="shared" si="75"/>
      </c>
      <c r="BL29" s="251">
        <f t="shared" si="39"/>
      </c>
      <c r="BM29" s="248">
        <f t="shared" si="21"/>
        <v>2019012</v>
      </c>
      <c r="BN29" s="379">
        <f t="shared" si="77"/>
        <v>-131</v>
      </c>
      <c r="BO29" s="380">
        <f t="shared" si="23"/>
        <v>0</v>
      </c>
      <c r="BP29" s="248">
        <f t="shared" si="57"/>
        <v>550000</v>
      </c>
      <c r="BQ29" s="248">
        <f t="shared" si="24"/>
        <v>6554.166666666666</v>
      </c>
      <c r="BR29" s="248">
        <f t="shared" si="62"/>
        <v>1</v>
      </c>
      <c r="BS29" s="392">
        <f t="shared" si="40"/>
        <v>550000</v>
      </c>
      <c r="BT29" s="392" t="str">
        <f t="shared" si="41"/>
        <v>初回</v>
      </c>
      <c r="BU29" s="338">
        <f t="shared" si="71"/>
        <v>6554.166666666666</v>
      </c>
      <c r="BV29" s="251">
        <f t="shared" si="72"/>
        <v>543445.8333333334</v>
      </c>
      <c r="BW29" s="339">
        <f t="shared" si="73"/>
        <v>6554.166666666666</v>
      </c>
      <c r="BX29" s="338">
        <f t="shared" si="74"/>
        <v>543445.8333333334</v>
      </c>
      <c r="BY29" s="338">
        <f t="shared" si="42"/>
        <v>6554.166666666666</v>
      </c>
      <c r="BZ29" s="341">
        <f t="shared" si="43"/>
        <v>6554.166666666666</v>
      </c>
      <c r="CA29" s="346">
        <f t="shared" si="44"/>
        <v>543445.8333333334</v>
      </c>
      <c r="CB29" s="251">
        <f t="shared" si="45"/>
        <v>543445.8333333334</v>
      </c>
      <c r="CC29" s="248"/>
      <c r="CD29" s="233"/>
      <c r="CE29" s="233"/>
      <c r="CF29" s="233"/>
      <c r="CG29" s="233"/>
      <c r="CH29" s="233"/>
      <c r="CI29" s="233"/>
      <c r="CJ29" s="233"/>
      <c r="CK29" s="233"/>
      <c r="CL29" s="233"/>
      <c r="CM29" s="233"/>
      <c r="CN29" s="120"/>
      <c r="CO29" s="70">
        <v>23</v>
      </c>
      <c r="CP29" s="74" t="str">
        <f t="shared" si="46"/>
        <v>動力噴霧器</v>
      </c>
      <c r="CQ29" s="82">
        <f t="shared" si="47"/>
      </c>
      <c r="CR29" s="83">
        <f t="shared" si="48"/>
        <v>1</v>
      </c>
      <c r="CS29" s="83">
        <f t="shared" si="49"/>
        <v>12</v>
      </c>
      <c r="CT29" s="86">
        <f t="shared" si="50"/>
      </c>
      <c r="CU29" s="85">
        <f t="shared" si="51"/>
        <v>550000</v>
      </c>
      <c r="CV29" s="85">
        <f t="shared" si="29"/>
        <v>550000</v>
      </c>
      <c r="CW29" s="229" t="str">
        <f t="shared" si="52"/>
        <v>新定額</v>
      </c>
      <c r="CX29" s="302">
        <f t="shared" si="58"/>
        <v>7</v>
      </c>
      <c r="CY29" s="340">
        <f t="shared" si="30"/>
        <v>0.143</v>
      </c>
      <c r="CZ29" s="79">
        <f t="shared" si="53"/>
        <v>1</v>
      </c>
      <c r="DA29" s="80" t="str">
        <f t="shared" si="54"/>
        <v>/12</v>
      </c>
      <c r="DB29" s="343">
        <f t="shared" si="59"/>
        <v>6554</v>
      </c>
      <c r="DC29" s="87" t="str">
        <f t="shared" si="31"/>
        <v>100%</v>
      </c>
      <c r="DD29" s="85">
        <f t="shared" si="64"/>
        <v>6554</v>
      </c>
      <c r="DE29" s="343">
        <f t="shared" si="60"/>
        <v>543446</v>
      </c>
      <c r="DF29" s="306" t="str">
        <f t="shared" si="32"/>
        <v>　7年</v>
      </c>
      <c r="DH29" s="388"/>
      <c r="DI29" s="383"/>
      <c r="DJ29" s="383"/>
      <c r="DO29" s="120">
        <v>29</v>
      </c>
      <c r="DP29" s="120" t="s">
        <v>127</v>
      </c>
      <c r="DR29" s="120">
        <v>1954</v>
      </c>
    </row>
    <row r="30" spans="1:122" ht="13.5" customHeight="1">
      <c r="A30" s="290">
        <v>24</v>
      </c>
      <c r="B30" s="211" t="s">
        <v>640</v>
      </c>
      <c r="C30" s="212"/>
      <c r="D30" s="213"/>
      <c r="E30" s="214" t="s">
        <v>18</v>
      </c>
      <c r="F30" s="214">
        <v>6</v>
      </c>
      <c r="G30" s="215">
        <v>300000</v>
      </c>
      <c r="H30" s="216"/>
      <c r="I30" s="216">
        <v>7</v>
      </c>
      <c r="J30" s="217"/>
      <c r="K30" s="218"/>
      <c r="L30" s="218">
        <f t="shared" si="33"/>
      </c>
      <c r="M30" s="191">
        <f t="shared" si="2"/>
      </c>
      <c r="N30" s="194">
        <f t="shared" si="55"/>
        <v>42900</v>
      </c>
      <c r="O30" s="291">
        <f t="shared" si="56"/>
        <v>17575</v>
      </c>
      <c r="P30" s="286">
        <f>IF(ISERROR(IF(AND(C30="◎",YEAR(AW30)&lt;1999),VLOOKUP(AS30,テーブル!$S$8:$W$106,2,0),"")),"",IF(AND(C30="◎",YEAR(AW30)&lt;1999),VLOOKUP(AS30,テーブル!$S$8:$W$106,2,0),""))</f>
      </c>
      <c r="Q30" s="276">
        <f t="shared" si="34"/>
      </c>
      <c r="R30" s="278">
        <f t="shared" si="35"/>
        <v>0</v>
      </c>
      <c r="S30" s="274" t="e">
        <f t="shared" si="3"/>
        <v>#VALUE!</v>
      </c>
      <c r="T30" s="276">
        <f>IF(AN30="旧定額",VLOOKUP(H30,[0]!旧償却率,2,0),IF(ISERROR(VLOOKUP(H30,[0]!新償却率,2,0)),"",IF(U30=0,"",VLOOKUP(H30,[0]!新償却率,2,0))))</f>
      </c>
      <c r="U30" s="274">
        <f t="shared" si="36"/>
        <v>0</v>
      </c>
      <c r="V30" s="274">
        <f t="shared" si="76"/>
      </c>
      <c r="W30" s="274">
        <f t="shared" si="5"/>
        <v>0</v>
      </c>
      <c r="X30" s="378" t="e">
        <f>IF(AN30="旧定額",T30,VLOOKUP(H30,テーブル!$C$8:$D$106,2,0))</f>
        <v>#N/A</v>
      </c>
      <c r="Y30" s="274" t="e">
        <f t="shared" si="6"/>
        <v>#N/A</v>
      </c>
      <c r="Z30" s="274"/>
      <c r="AA30" s="276">
        <f>IF(ISERROR(VLOOKUP(I30,テーブル!$S$8:$W$106,2,0)),"",IF(AN30="旧定額",VLOOKUP(I30,テーブル!$S$8:$W$106,2,0),VLOOKUP(I30,テーブル!$C$8:$D$106,2,0)))</f>
        <v>0.143</v>
      </c>
      <c r="AB30" s="236">
        <f t="shared" si="37"/>
      </c>
      <c r="AC30" s="232"/>
      <c r="AD30" s="232"/>
      <c r="AE30" s="232"/>
      <c r="AF30" s="232"/>
      <c r="AG30" s="232"/>
      <c r="AH30" s="232"/>
      <c r="AI30" s="270"/>
      <c r="AJ30" s="270"/>
      <c r="AK30" s="270"/>
      <c r="AL30" s="270"/>
      <c r="AM30" s="233"/>
      <c r="AN30" s="248" t="str">
        <f t="shared" si="7"/>
        <v>新定額</v>
      </c>
      <c r="AO30" s="248">
        <f t="shared" si="8"/>
      </c>
      <c r="AP30" s="248">
        <f>IF(AO30&lt;&gt;"",INT(G30-VLOOKUP(H30,テーブル!$S$8:$W$106,4,0)*AO30*G30/1000000),"")</f>
      </c>
      <c r="AQ30" s="248">
        <f t="shared" si="9"/>
      </c>
      <c r="AR30" s="248">
        <f t="shared" si="10"/>
      </c>
      <c r="AS30" s="248">
        <f>IF(AR30&lt;0,"",IF(AR30&lt;&gt;"",VLOOKUP(H30,テーブル!$Q$8:$W$106,2,0),""))</f>
      </c>
      <c r="AT30" s="248">
        <f>IF(AS30&lt;&gt;"",G30-VLOOKUP(AS30,テーブル!$S$8:$W$106,4,0)*AR30*G30/1000000,G30)</f>
        <v>300000</v>
      </c>
      <c r="AU30" s="268" t="e">
        <f>IF(AS30&lt;&gt;"",AT30-VLOOKUP(H30,テーブル!$S$8:$W$106,4,0)*(AO30-AR30)*G30/1000000,AT30-VLOOKUP(H30,テーブル!$S$8:$W$106,4,0)*(AO30)*G30/1000000)</f>
        <v>#N/A</v>
      </c>
      <c r="AV30" s="284">
        <f t="shared" si="61"/>
        <v>0</v>
      </c>
      <c r="AW30" s="249">
        <f t="shared" si="11"/>
        <v>41426</v>
      </c>
      <c r="AX30" s="248">
        <f t="shared" si="63"/>
      </c>
      <c r="AY30" s="248">
        <f>IF(AV30&lt;&gt;0,IF(AV30&gt;INT(G30*0.05),(VLOOKUP(H30,テーブル!$S$2:T123,2,0)*G30*0.9),IF(AV30=INT(G30*0.05),INT((AV30-1)/5),0)),"")</f>
      </c>
      <c r="AZ30" s="248">
        <f t="shared" si="12"/>
      </c>
      <c r="BA30" s="248">
        <f t="shared" si="65"/>
      </c>
      <c r="BB30" s="248">
        <f t="shared" si="66"/>
      </c>
      <c r="BC30" s="248">
        <f t="shared" si="15"/>
      </c>
      <c r="BD30" s="261">
        <f t="shared" si="0"/>
      </c>
      <c r="BE30" s="248">
        <f t="shared" si="67"/>
      </c>
      <c r="BF30" s="248">
        <f t="shared" si="68"/>
      </c>
      <c r="BG30" s="248">
        <f t="shared" si="18"/>
      </c>
      <c r="BH30" s="248">
        <f t="shared" si="69"/>
      </c>
      <c r="BI30" s="248">
        <f t="shared" si="38"/>
      </c>
      <c r="BJ30" s="248">
        <f t="shared" si="70"/>
      </c>
      <c r="BK30" s="263">
        <f t="shared" si="75"/>
      </c>
      <c r="BL30" s="251">
        <f t="shared" si="39"/>
      </c>
      <c r="BM30" s="248">
        <f t="shared" si="21"/>
        <v>201306</v>
      </c>
      <c r="BN30" s="379">
        <f t="shared" si="77"/>
        <v>-53</v>
      </c>
      <c r="BO30" s="380">
        <f t="shared" si="23"/>
        <v>0</v>
      </c>
      <c r="BP30" s="248">
        <f t="shared" si="57"/>
        <v>300000</v>
      </c>
      <c r="BQ30" s="248">
        <f t="shared" si="24"/>
        <v>3575</v>
      </c>
      <c r="BR30" s="248">
        <f t="shared" si="62"/>
        <v>79</v>
      </c>
      <c r="BS30" s="392">
        <f t="shared" si="40"/>
        <v>60475</v>
      </c>
      <c r="BT30" s="392" t="str">
        <f t="shared" si="41"/>
        <v>通常回</v>
      </c>
      <c r="BU30" s="338">
        <f t="shared" si="71"/>
        <v>42900</v>
      </c>
      <c r="BV30" s="251">
        <f t="shared" si="72"/>
        <v>17575</v>
      </c>
      <c r="BW30" s="339">
        <f t="shared" si="73"/>
        <v>42900</v>
      </c>
      <c r="BX30" s="338">
        <f t="shared" si="74"/>
        <v>17575</v>
      </c>
      <c r="BY30" s="338">
        <f t="shared" si="42"/>
        <v>42900</v>
      </c>
      <c r="BZ30" s="341">
        <f t="shared" si="43"/>
        <v>42900</v>
      </c>
      <c r="CA30" s="346">
        <f t="shared" si="44"/>
        <v>17575</v>
      </c>
      <c r="CB30" s="251">
        <f t="shared" si="45"/>
        <v>17575</v>
      </c>
      <c r="CC30" s="248"/>
      <c r="CD30" s="233"/>
      <c r="CE30" s="233"/>
      <c r="CF30" s="233"/>
      <c r="CG30" s="233"/>
      <c r="CH30" s="233"/>
      <c r="CI30" s="233"/>
      <c r="CJ30" s="233"/>
      <c r="CK30" s="233"/>
      <c r="CL30" s="233"/>
      <c r="CM30" s="233"/>
      <c r="CN30" s="120"/>
      <c r="CO30" s="73">
        <v>24</v>
      </c>
      <c r="CP30" s="74" t="str">
        <f t="shared" si="46"/>
        <v>溝掘機</v>
      </c>
      <c r="CQ30" s="82">
        <f t="shared" si="47"/>
      </c>
      <c r="CR30" s="83" t="str">
        <f t="shared" si="48"/>
        <v>H25</v>
      </c>
      <c r="CS30" s="83">
        <f t="shared" si="49"/>
        <v>6</v>
      </c>
      <c r="CT30" s="86">
        <f t="shared" si="50"/>
      </c>
      <c r="CU30" s="85">
        <f t="shared" si="51"/>
        <v>300000</v>
      </c>
      <c r="CV30" s="85">
        <f t="shared" si="29"/>
        <v>300000</v>
      </c>
      <c r="CW30" s="229" t="str">
        <f t="shared" si="52"/>
        <v>新定額</v>
      </c>
      <c r="CX30" s="302">
        <f t="shared" si="58"/>
        <v>7</v>
      </c>
      <c r="CY30" s="340">
        <f t="shared" si="30"/>
        <v>0.143</v>
      </c>
      <c r="CZ30" s="79">
        <f t="shared" si="53"/>
        <v>12</v>
      </c>
      <c r="DA30" s="80" t="str">
        <f t="shared" si="54"/>
        <v>/12</v>
      </c>
      <c r="DB30" s="343">
        <f t="shared" si="59"/>
        <v>42900</v>
      </c>
      <c r="DC30" s="87" t="str">
        <f t="shared" si="31"/>
        <v>100%</v>
      </c>
      <c r="DD30" s="85">
        <f t="shared" si="64"/>
        <v>42900</v>
      </c>
      <c r="DE30" s="343">
        <f t="shared" si="60"/>
        <v>17575</v>
      </c>
      <c r="DF30" s="306">
        <f t="shared" si="32"/>
      </c>
      <c r="DH30" s="388"/>
      <c r="DI30" s="383"/>
      <c r="DJ30" s="383"/>
      <c r="DO30" s="120">
        <v>30</v>
      </c>
      <c r="DP30" s="120" t="s">
        <v>128</v>
      </c>
      <c r="DR30" s="120">
        <v>1955</v>
      </c>
    </row>
    <row r="31" spans="1:122" ht="13.5" customHeight="1">
      <c r="A31" s="292">
        <v>25</v>
      </c>
      <c r="B31" s="211" t="s">
        <v>641</v>
      </c>
      <c r="C31" s="212"/>
      <c r="D31" s="213"/>
      <c r="E31" s="214" t="s">
        <v>18</v>
      </c>
      <c r="F31" s="214">
        <v>6</v>
      </c>
      <c r="G31" s="215">
        <v>140000</v>
      </c>
      <c r="H31" s="216"/>
      <c r="I31" s="216">
        <v>7</v>
      </c>
      <c r="J31" s="217"/>
      <c r="K31" s="218"/>
      <c r="L31" s="218">
        <f t="shared" si="33"/>
      </c>
      <c r="M31" s="191">
        <f t="shared" si="2"/>
      </c>
      <c r="N31" s="194">
        <f t="shared" si="55"/>
        <v>20020</v>
      </c>
      <c r="O31" s="291">
        <f t="shared" si="56"/>
        <v>8201.666666666672</v>
      </c>
      <c r="P31" s="286">
        <f>IF(ISERROR(IF(AND(C31="◎",YEAR(AW31)&lt;1999),VLOOKUP(AS31,テーブル!$S$8:$W$106,2,0),"")),"",IF(AND(C31="◎",YEAR(AW31)&lt;1999),VLOOKUP(AS31,テーブル!$S$8:$W$106,2,0),""))</f>
      </c>
      <c r="Q31" s="276">
        <f t="shared" si="34"/>
      </c>
      <c r="R31" s="278">
        <f t="shared" si="35"/>
        <v>0</v>
      </c>
      <c r="S31" s="274" t="e">
        <f t="shared" si="3"/>
        <v>#VALUE!</v>
      </c>
      <c r="T31" s="276">
        <f>IF(AN31="旧定額",VLOOKUP(H31,[0]!旧償却率,2,0),IF(ISERROR(VLOOKUP(H31,[0]!新償却率,2,0)),"",IF(U31=0,"",VLOOKUP(H31,[0]!新償却率,2,0))))</f>
      </c>
      <c r="U31" s="274">
        <f t="shared" si="36"/>
        <v>0</v>
      </c>
      <c r="V31" s="274">
        <f t="shared" si="76"/>
      </c>
      <c r="W31" s="274">
        <f t="shared" si="5"/>
        <v>0</v>
      </c>
      <c r="X31" s="378" t="e">
        <f>IF(AN31="旧定額",T31,VLOOKUP(H31,テーブル!$C$8:$D$106,2,0))</f>
        <v>#N/A</v>
      </c>
      <c r="Y31" s="274" t="e">
        <f t="shared" si="6"/>
        <v>#N/A</v>
      </c>
      <c r="Z31" s="274"/>
      <c r="AA31" s="276">
        <f>IF(ISERROR(VLOOKUP(I31,テーブル!$S$8:$W$106,2,0)),"",IF(AN31="旧定額",VLOOKUP(I31,テーブル!$S$8:$W$106,2,0),VLOOKUP(I31,テーブル!$C$8:$D$106,2,0)))</f>
        <v>0.143</v>
      </c>
      <c r="AB31" s="236">
        <f t="shared" si="37"/>
      </c>
      <c r="AC31" s="232"/>
      <c r="AD31" s="232"/>
      <c r="AE31" s="232"/>
      <c r="AF31" s="232"/>
      <c r="AG31" s="232"/>
      <c r="AH31" s="232"/>
      <c r="AI31" s="270"/>
      <c r="AJ31" s="270"/>
      <c r="AK31" s="270"/>
      <c r="AL31" s="270"/>
      <c r="AM31" s="233"/>
      <c r="AN31" s="248" t="str">
        <f t="shared" si="7"/>
        <v>新定額</v>
      </c>
      <c r="AO31" s="248">
        <f t="shared" si="8"/>
      </c>
      <c r="AP31" s="248">
        <f>IF(AO31&lt;&gt;"",INT(G31-VLOOKUP(H31,テーブル!$S$8:$W$106,4,0)*AO31*G31/1000000),"")</f>
      </c>
      <c r="AQ31" s="248">
        <f t="shared" si="9"/>
      </c>
      <c r="AR31" s="248">
        <f t="shared" si="10"/>
      </c>
      <c r="AS31" s="248">
        <f>IF(AR31&lt;0,"",IF(AR31&lt;&gt;"",VLOOKUP(H31,テーブル!$Q$8:$W$106,2,0),""))</f>
      </c>
      <c r="AT31" s="248">
        <f>IF(AS31&lt;&gt;"",G31-VLOOKUP(AS31,テーブル!$S$8:$W$106,4,0)*AR31*G31/1000000,G31)</f>
        <v>140000</v>
      </c>
      <c r="AU31" s="268" t="e">
        <f>IF(AS31&lt;&gt;"",AT31-VLOOKUP(H31,テーブル!$S$8:$W$106,4,0)*(AO31-AR31)*G31/1000000,AT31-VLOOKUP(H31,テーブル!$S$8:$W$106,4,0)*(AO31)*G31/1000000)</f>
        <v>#N/A</v>
      </c>
      <c r="AV31" s="284">
        <f t="shared" si="61"/>
        <v>0</v>
      </c>
      <c r="AW31" s="249">
        <f t="shared" si="11"/>
        <v>41426</v>
      </c>
      <c r="AX31" s="248">
        <f t="shared" si="63"/>
      </c>
      <c r="AY31" s="248">
        <f>IF(AV31&lt;&gt;0,IF(AV31&gt;INT(G31*0.05),(VLOOKUP(H31,テーブル!$S$2:T124,2,0)*G31*0.9),IF(AV31=INT(G31*0.05),INT((AV31-1)/5),0)),"")</f>
      </c>
      <c r="AZ31" s="248">
        <f t="shared" si="12"/>
      </c>
      <c r="BA31" s="248">
        <f t="shared" si="65"/>
      </c>
      <c r="BB31" s="248">
        <f t="shared" si="66"/>
      </c>
      <c r="BC31" s="248">
        <f t="shared" si="15"/>
      </c>
      <c r="BD31" s="261">
        <f t="shared" si="0"/>
      </c>
      <c r="BE31" s="248">
        <f t="shared" si="67"/>
      </c>
      <c r="BF31" s="248">
        <f t="shared" si="68"/>
      </c>
      <c r="BG31" s="248">
        <f t="shared" si="18"/>
      </c>
      <c r="BH31" s="248">
        <f t="shared" si="69"/>
      </c>
      <c r="BI31" s="248">
        <f t="shared" si="38"/>
      </c>
      <c r="BJ31" s="248">
        <f t="shared" si="70"/>
      </c>
      <c r="BK31" s="263">
        <f t="shared" si="75"/>
      </c>
      <c r="BL31" s="251">
        <f t="shared" si="39"/>
      </c>
      <c r="BM31" s="248">
        <f t="shared" si="21"/>
        <v>201306</v>
      </c>
      <c r="BN31" s="379">
        <f t="shared" si="77"/>
        <v>-53</v>
      </c>
      <c r="BO31" s="380">
        <f>IF(BN31&lt;0,0,BN31*X31*G31/12)</f>
        <v>0</v>
      </c>
      <c r="BP31" s="248">
        <f t="shared" si="57"/>
        <v>140000</v>
      </c>
      <c r="BQ31" s="248">
        <f t="shared" si="24"/>
        <v>1668.3333333333333</v>
      </c>
      <c r="BR31" s="248">
        <f t="shared" si="62"/>
        <v>79</v>
      </c>
      <c r="BS31" s="392">
        <f t="shared" si="40"/>
        <v>28221.66666666667</v>
      </c>
      <c r="BT31" s="392" t="str">
        <f t="shared" si="41"/>
        <v>通常回</v>
      </c>
      <c r="BU31" s="338">
        <f t="shared" si="71"/>
        <v>20020</v>
      </c>
      <c r="BV31" s="251">
        <f t="shared" si="72"/>
        <v>8201.666666666672</v>
      </c>
      <c r="BW31" s="339">
        <f t="shared" si="73"/>
        <v>20020</v>
      </c>
      <c r="BX31" s="338">
        <f t="shared" si="74"/>
        <v>8201.666666666672</v>
      </c>
      <c r="BY31" s="338">
        <f t="shared" si="42"/>
        <v>20020</v>
      </c>
      <c r="BZ31" s="341">
        <f t="shared" si="43"/>
        <v>20020</v>
      </c>
      <c r="CA31" s="346">
        <f t="shared" si="44"/>
        <v>8201.666666666672</v>
      </c>
      <c r="CB31" s="251">
        <f t="shared" si="45"/>
        <v>8201.666666666672</v>
      </c>
      <c r="CC31" s="248"/>
      <c r="CD31" s="233"/>
      <c r="CE31" s="233"/>
      <c r="CF31" s="233"/>
      <c r="CG31" s="233"/>
      <c r="CH31" s="233"/>
      <c r="CI31" s="233"/>
      <c r="CJ31" s="233"/>
      <c r="CK31" s="233"/>
      <c r="CL31" s="233"/>
      <c r="CM31" s="233"/>
      <c r="CN31" s="120"/>
      <c r="CO31" s="70">
        <v>25</v>
      </c>
      <c r="CP31" s="74" t="str">
        <f t="shared" si="46"/>
        <v>まいたろう</v>
      </c>
      <c r="CQ31" s="82">
        <f t="shared" si="47"/>
      </c>
      <c r="CR31" s="83" t="str">
        <f t="shared" si="48"/>
        <v>H25</v>
      </c>
      <c r="CS31" s="83">
        <f t="shared" si="49"/>
        <v>6</v>
      </c>
      <c r="CT31" s="86">
        <f t="shared" si="50"/>
      </c>
      <c r="CU31" s="85">
        <f t="shared" si="51"/>
        <v>140000</v>
      </c>
      <c r="CV31" s="85">
        <f t="shared" si="29"/>
        <v>140000</v>
      </c>
      <c r="CW31" s="229" t="str">
        <f t="shared" si="52"/>
        <v>新定額</v>
      </c>
      <c r="CX31" s="302">
        <f t="shared" si="58"/>
        <v>7</v>
      </c>
      <c r="CY31" s="340">
        <f t="shared" si="30"/>
        <v>0.143</v>
      </c>
      <c r="CZ31" s="79">
        <f t="shared" si="53"/>
        <v>12</v>
      </c>
      <c r="DA31" s="80" t="str">
        <f t="shared" si="54"/>
        <v>/12</v>
      </c>
      <c r="DB31" s="343">
        <f t="shared" si="59"/>
        <v>20020</v>
      </c>
      <c r="DC31" s="87" t="str">
        <f t="shared" si="31"/>
        <v>100%</v>
      </c>
      <c r="DD31" s="85">
        <f t="shared" si="64"/>
        <v>20020</v>
      </c>
      <c r="DE31" s="343">
        <f t="shared" si="60"/>
        <v>8202</v>
      </c>
      <c r="DF31" s="306">
        <f t="shared" si="32"/>
      </c>
      <c r="DH31" s="388"/>
      <c r="DI31" s="383"/>
      <c r="DJ31" s="383"/>
      <c r="DO31" s="120">
        <v>31</v>
      </c>
      <c r="DP31" s="120" t="s">
        <v>129</v>
      </c>
      <c r="DR31" s="120">
        <v>1956</v>
      </c>
    </row>
    <row r="32" spans="1:122" ht="13.5" customHeight="1">
      <c r="A32" s="290">
        <v>26</v>
      </c>
      <c r="B32" s="211" t="s">
        <v>642</v>
      </c>
      <c r="C32" s="212"/>
      <c r="D32" s="213"/>
      <c r="E32" s="214" t="s">
        <v>27</v>
      </c>
      <c r="F32" s="214">
        <v>8</v>
      </c>
      <c r="G32" s="215">
        <v>861840</v>
      </c>
      <c r="H32" s="216"/>
      <c r="I32" s="216">
        <v>10</v>
      </c>
      <c r="J32" s="217"/>
      <c r="K32" s="218"/>
      <c r="L32" s="218">
        <f t="shared" si="33"/>
      </c>
      <c r="M32" s="191">
        <f t="shared" si="2"/>
      </c>
      <c r="N32" s="194">
        <f t="shared" si="55"/>
        <v>86184.00000000001</v>
      </c>
      <c r="O32" s="291">
        <f t="shared" si="56"/>
        <v>395009.99999999994</v>
      </c>
      <c r="P32" s="286">
        <f>IF(ISERROR(IF(AND(C32="◎",YEAR(AW32)&lt;1999),VLOOKUP(AS32,テーブル!$S$8:$W$106,2,0),"")),"",IF(AND(C32="◎",YEAR(AW32)&lt;1999),VLOOKUP(AS32,テーブル!$S$8:$W$106,2,0),""))</f>
      </c>
      <c r="Q32" s="276">
        <f t="shared" si="34"/>
      </c>
      <c r="R32" s="278">
        <f t="shared" si="35"/>
        <v>0</v>
      </c>
      <c r="S32" s="274" t="e">
        <f t="shared" si="3"/>
        <v>#VALUE!</v>
      </c>
      <c r="T32" s="276">
        <f>IF(AN32="旧定額",VLOOKUP(H32,[0]!旧償却率,2,0),IF(ISERROR(VLOOKUP(H32,[0]!新償却率,2,0)),"",IF(U32=0,"",VLOOKUP(H32,[0]!新償却率,2,0))))</f>
      </c>
      <c r="U32" s="274">
        <f t="shared" si="36"/>
        <v>0</v>
      </c>
      <c r="V32" s="274">
        <f t="shared" si="76"/>
      </c>
      <c r="W32" s="274">
        <f t="shared" si="5"/>
        <v>0</v>
      </c>
      <c r="X32" s="378" t="e">
        <f>IF(AN32="旧定額",T32,VLOOKUP(H32,テーブル!$C$8:$D$106,2,0))</f>
        <v>#N/A</v>
      </c>
      <c r="Y32" s="274" t="e">
        <f t="shared" si="6"/>
        <v>#N/A</v>
      </c>
      <c r="Z32" s="274"/>
      <c r="AA32" s="276">
        <f>IF(ISERROR(VLOOKUP(I32,テーブル!$S$8:$W$106,2,0)),"",IF(AN32="旧定額",VLOOKUP(I32,テーブル!$S$8:$W$106,2,0),VLOOKUP(I32,テーブル!$C$8:$D$106,2,0)))</f>
        <v>0.1</v>
      </c>
      <c r="AB32" s="236">
        <f t="shared" si="37"/>
      </c>
      <c r="AC32" s="232"/>
      <c r="AD32" s="232"/>
      <c r="AE32" s="232"/>
      <c r="AF32" s="232"/>
      <c r="AG32" s="232"/>
      <c r="AH32" s="232"/>
      <c r="AI32" s="270"/>
      <c r="AJ32" s="270"/>
      <c r="AK32" s="270"/>
      <c r="AL32" s="270"/>
      <c r="AM32" s="233"/>
      <c r="AN32" s="248" t="str">
        <f t="shared" si="7"/>
        <v>新定額</v>
      </c>
      <c r="AO32" s="248">
        <f t="shared" si="8"/>
      </c>
      <c r="AP32" s="248">
        <f>IF(AO32&lt;&gt;"",INT(G32-VLOOKUP(H32,テーブル!$S$8:$W$106,4,0)*AO32*G32/1000000),"")</f>
      </c>
      <c r="AQ32" s="248">
        <f t="shared" si="9"/>
      </c>
      <c r="AR32" s="248">
        <f t="shared" si="10"/>
      </c>
      <c r="AS32" s="248">
        <f>IF(AR32&lt;0,"",IF(AR32&lt;&gt;"",VLOOKUP(H32,テーブル!$Q$8:$W$106,2,0),""))</f>
      </c>
      <c r="AT32" s="248">
        <f>IF(AS32&lt;&gt;"",G32-VLOOKUP(AS32,テーブル!$S$8:$W$106,4,0)*AR32*G32/1000000,G32)</f>
        <v>861840</v>
      </c>
      <c r="AU32" s="268" t="e">
        <f>IF(AS32&lt;&gt;"",AT32-VLOOKUP(H32,テーブル!$S$8:$W$106,4,0)*(AO32-AR32)*G32/1000000,AT32-VLOOKUP(H32,テーブル!$S$8:$W$106,4,0)*(AO32)*G32/1000000)</f>
        <v>#N/A</v>
      </c>
      <c r="AV32" s="284">
        <f t="shared" si="61"/>
        <v>0</v>
      </c>
      <c r="AW32" s="249">
        <f t="shared" si="11"/>
        <v>41852</v>
      </c>
      <c r="AX32" s="248">
        <f t="shared" si="63"/>
      </c>
      <c r="AY32" s="248">
        <f>IF(AV32&lt;&gt;0,IF(AV32&gt;INT(G32*0.05),(VLOOKUP(H32,テーブル!$S$2:T125,2,0)*G32*0.9),IF(AV32=INT(G32*0.05),INT((AV32-1)/5),0)),"")</f>
      </c>
      <c r="AZ32" s="248">
        <f t="shared" si="12"/>
      </c>
      <c r="BA32" s="248">
        <f t="shared" si="65"/>
      </c>
      <c r="BB32" s="248">
        <f t="shared" si="66"/>
      </c>
      <c r="BC32" s="248">
        <f t="shared" si="15"/>
      </c>
      <c r="BD32" s="261">
        <f t="shared" si="0"/>
      </c>
      <c r="BE32" s="248">
        <f t="shared" si="67"/>
      </c>
      <c r="BF32" s="248">
        <f t="shared" si="68"/>
      </c>
      <c r="BG32" s="248">
        <f t="shared" si="18"/>
      </c>
      <c r="BH32" s="248">
        <f t="shared" si="69"/>
      </c>
      <c r="BI32" s="248">
        <f t="shared" si="38"/>
      </c>
      <c r="BJ32" s="248">
        <f t="shared" si="70"/>
      </c>
      <c r="BK32" s="263">
        <f t="shared" si="75"/>
      </c>
      <c r="BL32" s="251">
        <f t="shared" si="39"/>
      </c>
      <c r="BM32" s="248">
        <f t="shared" si="21"/>
        <v>201408</v>
      </c>
      <c r="BN32" s="379">
        <f t="shared" si="77"/>
        <v>-67</v>
      </c>
      <c r="BO32" s="380">
        <f aca="true" t="shared" si="78" ref="BO32:BO37">IF(BN32&lt;0,0,BN32*X32*G32/12)</f>
        <v>0</v>
      </c>
      <c r="BP32" s="248">
        <f t="shared" si="57"/>
        <v>861840</v>
      </c>
      <c r="BQ32" s="248">
        <f t="shared" si="24"/>
        <v>7182.000000000001</v>
      </c>
      <c r="BR32" s="248">
        <f t="shared" si="62"/>
        <v>65</v>
      </c>
      <c r="BS32" s="392">
        <f t="shared" si="40"/>
        <v>481193.99999999994</v>
      </c>
      <c r="BT32" s="392" t="str">
        <f t="shared" si="41"/>
        <v>通常回</v>
      </c>
      <c r="BU32" s="338">
        <f t="shared" si="71"/>
        <v>86184.00000000001</v>
      </c>
      <c r="BV32" s="251">
        <f t="shared" si="72"/>
        <v>395009.99999999994</v>
      </c>
      <c r="BW32" s="339">
        <f t="shared" si="73"/>
        <v>86184.00000000001</v>
      </c>
      <c r="BX32" s="338">
        <f t="shared" si="74"/>
        <v>395009.99999999994</v>
      </c>
      <c r="BY32" s="338">
        <f t="shared" si="42"/>
        <v>86184.00000000001</v>
      </c>
      <c r="BZ32" s="341">
        <f t="shared" si="43"/>
        <v>86184.00000000001</v>
      </c>
      <c r="CA32" s="346">
        <f t="shared" si="44"/>
        <v>395009.99999999994</v>
      </c>
      <c r="CB32" s="251">
        <f t="shared" si="45"/>
        <v>395009.99999999994</v>
      </c>
      <c r="CC32" s="248"/>
      <c r="CD32" s="233"/>
      <c r="CE32" s="233"/>
      <c r="CF32" s="233"/>
      <c r="CG32" s="233"/>
      <c r="CH32" s="233"/>
      <c r="CI32" s="233"/>
      <c r="CJ32" s="233"/>
      <c r="CK32" s="233"/>
      <c r="CL32" s="233"/>
      <c r="CM32" s="233"/>
      <c r="CN32" s="120"/>
      <c r="CO32" s="73">
        <v>26</v>
      </c>
      <c r="CP32" s="74" t="str">
        <f t="shared" si="46"/>
        <v>ハウス</v>
      </c>
      <c r="CQ32" s="82">
        <f t="shared" si="47"/>
      </c>
      <c r="CR32" s="83" t="str">
        <f t="shared" si="48"/>
        <v>H26</v>
      </c>
      <c r="CS32" s="83">
        <f t="shared" si="49"/>
        <v>8</v>
      </c>
      <c r="CT32" s="86">
        <f t="shared" si="50"/>
      </c>
      <c r="CU32" s="85">
        <f t="shared" si="51"/>
        <v>861840</v>
      </c>
      <c r="CV32" s="85">
        <f t="shared" si="29"/>
        <v>861840</v>
      </c>
      <c r="CW32" s="229" t="str">
        <f t="shared" si="52"/>
        <v>新定額</v>
      </c>
      <c r="CX32" s="302">
        <f t="shared" si="58"/>
        <v>10</v>
      </c>
      <c r="CY32" s="340">
        <f t="shared" si="30"/>
        <v>0.1</v>
      </c>
      <c r="CZ32" s="79">
        <f t="shared" si="53"/>
        <v>12</v>
      </c>
      <c r="DA32" s="80" t="str">
        <f t="shared" si="54"/>
        <v>/12</v>
      </c>
      <c r="DB32" s="343">
        <f t="shared" si="59"/>
        <v>86184</v>
      </c>
      <c r="DC32" s="87" t="str">
        <f t="shared" si="31"/>
        <v>100%</v>
      </c>
      <c r="DD32" s="85">
        <f t="shared" si="64"/>
        <v>86184</v>
      </c>
      <c r="DE32" s="343">
        <f t="shared" si="60"/>
        <v>395010</v>
      </c>
      <c r="DF32" s="306">
        <f t="shared" si="32"/>
      </c>
      <c r="DH32" s="388"/>
      <c r="DI32" s="383"/>
      <c r="DJ32" s="383"/>
      <c r="DO32" s="120">
        <v>32</v>
      </c>
      <c r="DP32" s="120" t="s">
        <v>130</v>
      </c>
      <c r="DR32" s="120">
        <v>1957</v>
      </c>
    </row>
    <row r="33" spans="1:122" ht="13.5" customHeight="1">
      <c r="A33" s="292">
        <v>27</v>
      </c>
      <c r="B33" s="211" t="s">
        <v>643</v>
      </c>
      <c r="C33" s="212"/>
      <c r="D33" s="213"/>
      <c r="E33" s="214" t="s">
        <v>28</v>
      </c>
      <c r="F33" s="214">
        <v>11</v>
      </c>
      <c r="G33" s="215">
        <v>250000</v>
      </c>
      <c r="H33" s="216"/>
      <c r="I33" s="216">
        <v>7</v>
      </c>
      <c r="J33" s="217"/>
      <c r="K33" s="218"/>
      <c r="L33" s="218">
        <f t="shared" si="33"/>
      </c>
      <c r="M33" s="191">
        <f t="shared" si="2"/>
      </c>
      <c r="N33" s="194">
        <f t="shared" si="55"/>
        <v>35750</v>
      </c>
      <c r="O33" s="291">
        <f t="shared" si="56"/>
        <v>101041.66666666669</v>
      </c>
      <c r="P33" s="286">
        <f>IF(ISERROR(IF(AND(C33="◎",YEAR(AW33)&lt;1999),VLOOKUP(AS33,テーブル!$S$8:$W$106,2,0),"")),"",IF(AND(C33="◎",YEAR(AW33)&lt;1999),VLOOKUP(AS33,テーブル!$S$8:$W$106,2,0),""))</f>
      </c>
      <c r="Q33" s="276">
        <f t="shared" si="34"/>
      </c>
      <c r="R33" s="278">
        <f t="shared" si="35"/>
        <v>0</v>
      </c>
      <c r="S33" s="274" t="e">
        <f t="shared" si="3"/>
        <v>#VALUE!</v>
      </c>
      <c r="T33" s="276">
        <f>IF(AN33="旧定額",VLOOKUP(H33,[0]!旧償却率,2,0),IF(ISERROR(VLOOKUP(H33,[0]!新償却率,2,0)),"",IF(U33=0,"",VLOOKUP(H33,[0]!新償却率,2,0))))</f>
      </c>
      <c r="U33" s="274">
        <f t="shared" si="36"/>
        <v>0</v>
      </c>
      <c r="V33" s="274">
        <f t="shared" si="76"/>
      </c>
      <c r="W33" s="274">
        <f t="shared" si="5"/>
        <v>0</v>
      </c>
      <c r="X33" s="378" t="e">
        <f>IF(AN33="旧定額",T33,VLOOKUP(H33,テーブル!$C$8:$D$106,2,0))</f>
        <v>#N/A</v>
      </c>
      <c r="Y33" s="274" t="e">
        <f t="shared" si="6"/>
        <v>#N/A</v>
      </c>
      <c r="Z33" s="274"/>
      <c r="AA33" s="276">
        <f>IF(ISERROR(VLOOKUP(I33,テーブル!$S$8:$W$106,2,0)),"",IF(AN33="旧定額",VLOOKUP(I33,テーブル!$S$8:$W$106,2,0),VLOOKUP(I33,テーブル!$C$8:$D$106,2,0)))</f>
        <v>0.143</v>
      </c>
      <c r="AB33" s="236">
        <f t="shared" si="37"/>
      </c>
      <c r="AC33" s="232"/>
      <c r="AD33" s="232"/>
      <c r="AE33" s="232"/>
      <c r="AF33" s="232"/>
      <c r="AG33" s="232"/>
      <c r="AH33" s="232"/>
      <c r="AI33" s="270"/>
      <c r="AJ33" s="270"/>
      <c r="AK33" s="270"/>
      <c r="AL33" s="270"/>
      <c r="AM33" s="233"/>
      <c r="AN33" s="248" t="str">
        <f t="shared" si="7"/>
        <v>新定額</v>
      </c>
      <c r="AO33" s="248">
        <f t="shared" si="8"/>
      </c>
      <c r="AP33" s="248">
        <f>IF(AO33&lt;&gt;"",INT(G33-VLOOKUP(H33,テーブル!$S$8:$W$106,4,0)*AO33*G33/1000000),"")</f>
      </c>
      <c r="AQ33" s="248">
        <f t="shared" si="9"/>
      </c>
      <c r="AR33" s="248">
        <f t="shared" si="10"/>
      </c>
      <c r="AS33" s="248">
        <f>IF(AR33&lt;0,"",IF(AR33&lt;&gt;"",VLOOKUP(H33,テーブル!$Q$8:$W$106,2,0),""))</f>
      </c>
      <c r="AT33" s="248">
        <f>IF(AS33&lt;&gt;"",G33-VLOOKUP(AS33,テーブル!$S$8:$W$106,4,0)*AR33*G33/1000000,G33)</f>
        <v>250000</v>
      </c>
      <c r="AU33" s="268" t="e">
        <f>IF(AS33&lt;&gt;"",AT33-VLOOKUP(H33,テーブル!$S$8:$W$106,4,0)*(AO33-AR33)*G33/1000000,AT33-VLOOKUP(H33,テーブル!$S$8:$W$106,4,0)*(AO33)*G33/1000000)</f>
        <v>#N/A</v>
      </c>
      <c r="AV33" s="284">
        <f t="shared" si="61"/>
        <v>0</v>
      </c>
      <c r="AW33" s="249">
        <f t="shared" si="11"/>
        <v>42309</v>
      </c>
      <c r="AX33" s="248">
        <f t="shared" si="63"/>
      </c>
      <c r="AY33" s="248">
        <f>IF(AV33&lt;&gt;0,IF(AV33&gt;INT(G33*0.05),(VLOOKUP(H33,テーブル!$S$2:T126,2,0)*G33*0.9),IF(AV33=INT(G33*0.05),INT((AV33-1)/5),0)),"")</f>
      </c>
      <c r="AZ33" s="248">
        <f t="shared" si="12"/>
      </c>
      <c r="BA33" s="248">
        <f t="shared" si="65"/>
      </c>
      <c r="BB33" s="248">
        <f t="shared" si="66"/>
      </c>
      <c r="BC33" s="248">
        <f t="shared" si="15"/>
      </c>
      <c r="BD33" s="261">
        <f t="shared" si="0"/>
      </c>
      <c r="BE33" s="248">
        <f t="shared" si="67"/>
      </c>
      <c r="BF33" s="248">
        <f t="shared" si="68"/>
      </c>
      <c r="BG33" s="248">
        <f t="shared" si="18"/>
      </c>
      <c r="BH33" s="248">
        <f t="shared" si="69"/>
      </c>
      <c r="BI33" s="248">
        <f t="shared" si="38"/>
      </c>
      <c r="BJ33" s="248">
        <f t="shared" si="70"/>
      </c>
      <c r="BK33" s="263">
        <f t="shared" si="75"/>
      </c>
      <c r="BL33" s="251">
        <f t="shared" si="39"/>
      </c>
      <c r="BM33" s="248">
        <f t="shared" si="21"/>
        <v>2015011</v>
      </c>
      <c r="BN33" s="379">
        <f t="shared" si="77"/>
        <v>-82</v>
      </c>
      <c r="BO33" s="380">
        <f t="shared" si="78"/>
        <v>0</v>
      </c>
      <c r="BP33" s="248">
        <f t="shared" si="57"/>
        <v>250000</v>
      </c>
      <c r="BQ33" s="248">
        <f t="shared" si="24"/>
        <v>2979.1666666666665</v>
      </c>
      <c r="BR33" s="248">
        <f t="shared" si="62"/>
        <v>50</v>
      </c>
      <c r="BS33" s="392">
        <f t="shared" si="40"/>
        <v>136791.6666666667</v>
      </c>
      <c r="BT33" s="392" t="str">
        <f t="shared" si="41"/>
        <v>通常回</v>
      </c>
      <c r="BU33" s="338">
        <f t="shared" si="71"/>
        <v>35750</v>
      </c>
      <c r="BV33" s="251">
        <f t="shared" si="72"/>
        <v>101041.66666666669</v>
      </c>
      <c r="BW33" s="339">
        <f t="shared" si="73"/>
        <v>35750</v>
      </c>
      <c r="BX33" s="338">
        <f t="shared" si="74"/>
        <v>101041.66666666669</v>
      </c>
      <c r="BY33" s="338">
        <f t="shared" si="42"/>
        <v>35750</v>
      </c>
      <c r="BZ33" s="341">
        <f t="shared" si="43"/>
        <v>35750</v>
      </c>
      <c r="CA33" s="346">
        <f t="shared" si="44"/>
        <v>101041.66666666669</v>
      </c>
      <c r="CB33" s="251">
        <f t="shared" si="45"/>
        <v>101041.66666666669</v>
      </c>
      <c r="CC33" s="248"/>
      <c r="CD33" s="233"/>
      <c r="CE33" s="233"/>
      <c r="CF33" s="233"/>
      <c r="CG33" s="233"/>
      <c r="CH33" s="233"/>
      <c r="CI33" s="233"/>
      <c r="CJ33" s="233"/>
      <c r="CK33" s="233"/>
      <c r="CL33" s="233"/>
      <c r="CM33" s="233"/>
      <c r="CN33" s="120"/>
      <c r="CO33" s="70">
        <v>27</v>
      </c>
      <c r="CP33" s="74" t="str">
        <f t="shared" si="46"/>
        <v>イセキ散布機</v>
      </c>
      <c r="CQ33" s="82">
        <f t="shared" si="47"/>
      </c>
      <c r="CR33" s="83" t="str">
        <f t="shared" si="48"/>
        <v>H27</v>
      </c>
      <c r="CS33" s="83">
        <f t="shared" si="49"/>
        <v>11</v>
      </c>
      <c r="CT33" s="86">
        <f t="shared" si="50"/>
      </c>
      <c r="CU33" s="85">
        <f t="shared" si="51"/>
        <v>250000</v>
      </c>
      <c r="CV33" s="85">
        <f t="shared" si="29"/>
        <v>250000</v>
      </c>
      <c r="CW33" s="229" t="str">
        <f t="shared" si="52"/>
        <v>新定額</v>
      </c>
      <c r="CX33" s="302">
        <f t="shared" si="58"/>
        <v>7</v>
      </c>
      <c r="CY33" s="340">
        <f t="shared" si="30"/>
        <v>0.143</v>
      </c>
      <c r="CZ33" s="79">
        <f t="shared" si="53"/>
        <v>12</v>
      </c>
      <c r="DA33" s="80" t="str">
        <f t="shared" si="54"/>
        <v>/12</v>
      </c>
      <c r="DB33" s="343">
        <f t="shared" si="59"/>
        <v>35750</v>
      </c>
      <c r="DC33" s="87" t="str">
        <f t="shared" si="31"/>
        <v>100%</v>
      </c>
      <c r="DD33" s="85">
        <f t="shared" si="64"/>
        <v>35750</v>
      </c>
      <c r="DE33" s="343">
        <f t="shared" si="60"/>
        <v>101042</v>
      </c>
      <c r="DF33" s="306">
        <f t="shared" si="32"/>
      </c>
      <c r="DH33" s="388"/>
      <c r="DI33" s="383"/>
      <c r="DJ33" s="383"/>
      <c r="DO33" s="120">
        <v>33</v>
      </c>
      <c r="DP33" s="120" t="s">
        <v>131</v>
      </c>
      <c r="DR33" s="120">
        <v>1958</v>
      </c>
    </row>
    <row r="34" spans="1:122" ht="13.5" customHeight="1">
      <c r="A34" s="290">
        <v>28</v>
      </c>
      <c r="B34" s="211" t="s">
        <v>644</v>
      </c>
      <c r="C34" s="212" t="s">
        <v>48</v>
      </c>
      <c r="D34" s="213"/>
      <c r="E34" s="214" t="s">
        <v>28</v>
      </c>
      <c r="F34" s="214">
        <v>3</v>
      </c>
      <c r="G34" s="215">
        <v>440000</v>
      </c>
      <c r="H34" s="216"/>
      <c r="I34" s="216">
        <v>5</v>
      </c>
      <c r="J34" s="217"/>
      <c r="K34" s="218"/>
      <c r="L34" s="218">
        <f t="shared" si="33"/>
      </c>
      <c r="M34" s="191">
        <f t="shared" si="2"/>
      </c>
      <c r="N34" s="194">
        <f t="shared" si="55"/>
        <v>88000</v>
      </c>
      <c r="O34" s="291">
        <f t="shared" si="56"/>
        <v>14666.666666666628</v>
      </c>
      <c r="P34" s="286">
        <f>IF(ISERROR(IF(AND(C34="◎",YEAR(AW34)&lt;1999),VLOOKUP(AS34,テーブル!$S$8:$W$106,2,0),"")),"",IF(AND(C34="◎",YEAR(AW34)&lt;1999),VLOOKUP(AS34,テーブル!$S$8:$W$106,2,0),""))</f>
      </c>
      <c r="Q34" s="276">
        <f t="shared" si="34"/>
      </c>
      <c r="R34" s="278">
        <f t="shared" si="35"/>
        <v>0</v>
      </c>
      <c r="S34" s="274" t="e">
        <f t="shared" si="3"/>
        <v>#VALUE!</v>
      </c>
      <c r="T34" s="276">
        <f>IF(AN34="旧定額",VLOOKUP(H34,[0]!旧償却率,2,0),IF(ISERROR(VLOOKUP(H34,[0]!新償却率,2,0)),"",IF(U34=0,"",VLOOKUP(H34,[0]!新償却率,2,0))))</f>
      </c>
      <c r="U34" s="274">
        <f t="shared" si="36"/>
        <v>0</v>
      </c>
      <c r="V34" s="274">
        <f t="shared" si="76"/>
      </c>
      <c r="W34" s="274">
        <f t="shared" si="5"/>
        <v>0</v>
      </c>
      <c r="X34" s="378" t="e">
        <f>IF(AN34="旧定額",T34,VLOOKUP(H34,テーブル!$C$8:$D$106,2,0))</f>
        <v>#N/A</v>
      </c>
      <c r="Y34" s="274" t="e">
        <f t="shared" si="6"/>
        <v>#N/A</v>
      </c>
      <c r="Z34" s="274"/>
      <c r="AA34" s="276">
        <f>IF(ISERROR(VLOOKUP(I34,テーブル!$S$8:$W$106,2,0)),"",IF(AN34="旧定額",VLOOKUP(I34,テーブル!$S$8:$W$106,2,0),VLOOKUP(I34,テーブル!$C$8:$D$106,2,0)))</f>
        <v>0.2</v>
      </c>
      <c r="AB34" s="236">
        <f t="shared" si="37"/>
      </c>
      <c r="AC34" s="232"/>
      <c r="AD34" s="232"/>
      <c r="AE34" s="232"/>
      <c r="AF34" s="232"/>
      <c r="AG34" s="232"/>
      <c r="AH34" s="232"/>
      <c r="AI34" s="270"/>
      <c r="AJ34" s="270"/>
      <c r="AK34" s="270"/>
      <c r="AL34" s="270"/>
      <c r="AM34" s="233"/>
      <c r="AN34" s="248" t="str">
        <f t="shared" si="7"/>
        <v>新定額</v>
      </c>
      <c r="AO34" s="248">
        <f t="shared" si="8"/>
      </c>
      <c r="AP34" s="248">
        <f>IF(AO34&lt;&gt;"",INT(G34-VLOOKUP(H34,テーブル!$S$8:$W$106,4,0)*AO34*G34/1000000),"")</f>
      </c>
      <c r="AQ34" s="248">
        <f t="shared" si="9"/>
      </c>
      <c r="AR34" s="248">
        <f t="shared" si="10"/>
      </c>
      <c r="AS34" s="248">
        <f>IF(AR34&lt;0,"",IF(AR34&lt;&gt;"",VLOOKUP(H34,テーブル!$Q$8:$W$106,2,0),""))</f>
      </c>
      <c r="AT34" s="248">
        <f>IF(AS34&lt;&gt;"",G34-VLOOKUP(AS34,テーブル!$S$8:$W$106,4,0)*AR34*G34/1000000,G34)</f>
        <v>440000</v>
      </c>
      <c r="AU34" s="268" t="e">
        <f>IF(AS34&lt;&gt;"",AT34-VLOOKUP(H34,テーブル!$S$8:$W$106,4,0)*(AO34-AR34)*G34/1000000,AT34-VLOOKUP(H34,テーブル!$S$8:$W$106,4,0)*(AO34)*G34/1000000)</f>
        <v>#N/A</v>
      </c>
      <c r="AV34" s="284">
        <f t="shared" si="61"/>
        <v>0</v>
      </c>
      <c r="AW34" s="249">
        <f t="shared" si="11"/>
        <v>42064</v>
      </c>
      <c r="AX34" s="248">
        <f t="shared" si="63"/>
      </c>
      <c r="AY34" s="248">
        <f>IF(AV34&lt;&gt;0,IF(AV34&gt;INT(G34*0.05),(VLOOKUP(H34,テーブル!$S$2:T127,2,0)*G34*0.9),IF(AV34=INT(G34*0.05),INT((AV34-1)/5),0)),"")</f>
      </c>
      <c r="AZ34" s="248">
        <f t="shared" si="12"/>
      </c>
      <c r="BA34" s="248">
        <f t="shared" si="65"/>
      </c>
      <c r="BB34" s="248">
        <f t="shared" si="66"/>
      </c>
      <c r="BC34" s="248">
        <f t="shared" si="15"/>
      </c>
      <c r="BD34" s="261">
        <f t="shared" si="0"/>
      </c>
      <c r="BE34" s="248">
        <f t="shared" si="67"/>
      </c>
      <c r="BF34" s="248">
        <f t="shared" si="68"/>
      </c>
      <c r="BG34" s="248">
        <f t="shared" si="18"/>
      </c>
      <c r="BH34" s="248">
        <f t="shared" si="69"/>
      </c>
      <c r="BI34" s="248">
        <f t="shared" si="38"/>
      </c>
      <c r="BJ34" s="248">
        <f t="shared" si="70"/>
      </c>
      <c r="BK34" s="263">
        <f t="shared" si="75"/>
      </c>
      <c r="BL34" s="251">
        <f t="shared" si="39"/>
      </c>
      <c r="BM34" s="248">
        <f t="shared" si="21"/>
        <v>201503</v>
      </c>
      <c r="BN34" s="379">
        <f t="shared" si="77"/>
        <v>-74</v>
      </c>
      <c r="BO34" s="380">
        <f t="shared" si="78"/>
        <v>0</v>
      </c>
      <c r="BP34" s="248">
        <f t="shared" si="57"/>
        <v>440000</v>
      </c>
      <c r="BQ34" s="248">
        <f t="shared" si="24"/>
        <v>7333.333333333334</v>
      </c>
      <c r="BR34" s="248">
        <f t="shared" si="62"/>
        <v>58</v>
      </c>
      <c r="BS34" s="392">
        <f t="shared" si="40"/>
        <v>102666.66666666663</v>
      </c>
      <c r="BT34" s="392" t="str">
        <f t="shared" si="41"/>
        <v>通常回</v>
      </c>
      <c r="BU34" s="338">
        <f t="shared" si="71"/>
        <v>88000</v>
      </c>
      <c r="BV34" s="251">
        <f t="shared" si="72"/>
        <v>14666.666666666628</v>
      </c>
      <c r="BW34" s="339">
        <f t="shared" si="73"/>
        <v>88000</v>
      </c>
      <c r="BX34" s="338">
        <f t="shared" si="74"/>
        <v>14666.666666666628</v>
      </c>
      <c r="BY34" s="338">
        <f t="shared" si="42"/>
        <v>88000</v>
      </c>
      <c r="BZ34" s="341">
        <f t="shared" si="43"/>
        <v>88000</v>
      </c>
      <c r="CA34" s="346">
        <f t="shared" si="44"/>
        <v>14666.666666666628</v>
      </c>
      <c r="CB34" s="251">
        <f t="shared" si="45"/>
        <v>14666.666666666628</v>
      </c>
      <c r="CC34" s="248"/>
      <c r="CD34" s="233"/>
      <c r="CE34" s="233"/>
      <c r="CF34" s="233"/>
      <c r="CG34" s="233"/>
      <c r="CH34" s="233"/>
      <c r="CI34" s="233"/>
      <c r="CJ34" s="233"/>
      <c r="CK34" s="233"/>
      <c r="CL34" s="233"/>
      <c r="CM34" s="233"/>
      <c r="CN34" s="120"/>
      <c r="CO34" s="73">
        <v>28</v>
      </c>
      <c r="CP34" s="74" t="str">
        <f t="shared" si="46"/>
        <v>作業所　屋根</v>
      </c>
      <c r="CQ34" s="82">
        <f t="shared" si="47"/>
      </c>
      <c r="CR34" s="83" t="str">
        <f t="shared" si="48"/>
        <v>H27</v>
      </c>
      <c r="CS34" s="83">
        <f t="shared" si="49"/>
        <v>3</v>
      </c>
      <c r="CT34" s="86">
        <f t="shared" si="50"/>
      </c>
      <c r="CU34" s="85">
        <f t="shared" si="51"/>
        <v>440000</v>
      </c>
      <c r="CV34" s="85">
        <f t="shared" si="29"/>
        <v>440000</v>
      </c>
      <c r="CW34" s="229" t="str">
        <f t="shared" si="52"/>
        <v>新定額</v>
      </c>
      <c r="CX34" s="302">
        <f t="shared" si="58"/>
        <v>5</v>
      </c>
      <c r="CY34" s="340">
        <f t="shared" si="30"/>
        <v>0.2</v>
      </c>
      <c r="CZ34" s="79">
        <f t="shared" si="53"/>
        <v>12</v>
      </c>
      <c r="DA34" s="80" t="str">
        <f t="shared" si="54"/>
        <v>/12</v>
      </c>
      <c r="DB34" s="343">
        <f t="shared" si="59"/>
        <v>88000</v>
      </c>
      <c r="DC34" s="87" t="str">
        <f t="shared" si="31"/>
        <v>100%</v>
      </c>
      <c r="DD34" s="85">
        <f t="shared" si="64"/>
        <v>88000</v>
      </c>
      <c r="DE34" s="343">
        <f t="shared" si="60"/>
        <v>14667</v>
      </c>
      <c r="DF34" s="306">
        <f t="shared" si="32"/>
      </c>
      <c r="DH34" s="388"/>
      <c r="DI34" s="383"/>
      <c r="DJ34" s="383"/>
      <c r="DO34" s="120">
        <v>34</v>
      </c>
      <c r="DP34" s="120" t="s">
        <v>132</v>
      </c>
      <c r="DR34" s="120">
        <v>1959</v>
      </c>
    </row>
    <row r="35" spans="1:122" ht="13.5" customHeight="1">
      <c r="A35" s="292">
        <v>29</v>
      </c>
      <c r="B35" s="211" t="s">
        <v>645</v>
      </c>
      <c r="C35" s="212"/>
      <c r="D35" s="213"/>
      <c r="E35" s="214" t="s">
        <v>30</v>
      </c>
      <c r="F35" s="214">
        <v>8</v>
      </c>
      <c r="G35" s="215">
        <v>1042222</v>
      </c>
      <c r="H35" s="216"/>
      <c r="I35" s="216">
        <v>7</v>
      </c>
      <c r="J35" s="217"/>
      <c r="K35" s="218"/>
      <c r="L35" s="218">
        <f t="shared" si="33"/>
      </c>
      <c r="M35" s="191">
        <f t="shared" si="2"/>
      </c>
      <c r="N35" s="194">
        <f t="shared" si="55"/>
        <v>149037.74599999998</v>
      </c>
      <c r="O35" s="291">
        <f t="shared" si="56"/>
        <v>682047.4471666666</v>
      </c>
      <c r="P35" s="286">
        <f>IF(ISERROR(IF(AND(C35="◎",YEAR(AW35)&lt;1999),VLOOKUP(AS35,テーブル!$S$8:$W$106,2,0),"")),"",IF(AND(C35="◎",YEAR(AW35)&lt;1999),VLOOKUP(AS35,テーブル!$S$8:$W$106,2,0),""))</f>
      </c>
      <c r="Q35" s="276">
        <f t="shared" si="34"/>
      </c>
      <c r="R35" s="278">
        <f t="shared" si="35"/>
        <v>0</v>
      </c>
      <c r="S35" s="274" t="e">
        <f t="shared" si="3"/>
        <v>#VALUE!</v>
      </c>
      <c r="T35" s="276">
        <f>IF(AN35="旧定額",VLOOKUP(H35,[0]!旧償却率,2,0),IF(ISERROR(VLOOKUP(H35,[0]!新償却率,2,0)),"",IF(U35=0,"",VLOOKUP(H35,[0]!新償却率,2,0))))</f>
      </c>
      <c r="U35" s="274">
        <f t="shared" si="36"/>
        <v>0</v>
      </c>
      <c r="V35" s="274">
        <f t="shared" si="76"/>
      </c>
      <c r="W35" s="274">
        <f t="shared" si="5"/>
        <v>0</v>
      </c>
      <c r="X35" s="378" t="e">
        <f>IF(AN35="旧定額",T35,VLOOKUP(H35,テーブル!$C$8:$D$106,2,0))</f>
        <v>#N/A</v>
      </c>
      <c r="Y35" s="274" t="e">
        <f t="shared" si="6"/>
        <v>#N/A</v>
      </c>
      <c r="Z35" s="274"/>
      <c r="AA35" s="276">
        <f>IF(ISERROR(VLOOKUP(I35,テーブル!$S$8:$W$106,2,0)),"",IF(AN35="旧定額",VLOOKUP(I35,テーブル!$S$8:$W$106,2,0),VLOOKUP(I35,テーブル!$C$8:$D$106,2,0)))</f>
        <v>0.143</v>
      </c>
      <c r="AB35" s="236">
        <f t="shared" si="37"/>
      </c>
      <c r="AC35" s="232"/>
      <c r="AD35" s="232"/>
      <c r="AE35" s="232"/>
      <c r="AF35" s="232"/>
      <c r="AG35" s="232"/>
      <c r="AH35" s="232"/>
      <c r="AI35" s="270"/>
      <c r="AJ35" s="270"/>
      <c r="AK35" s="270"/>
      <c r="AL35" s="270"/>
      <c r="AM35" s="233"/>
      <c r="AN35" s="248" t="str">
        <f t="shared" si="7"/>
        <v>新定額</v>
      </c>
      <c r="AO35" s="248">
        <f t="shared" si="8"/>
      </c>
      <c r="AP35" s="248">
        <f>IF(AO35&lt;&gt;"",INT(G35-VLOOKUP(H35,テーブル!$S$8:$W$106,4,0)*AO35*G35/1000000),"")</f>
      </c>
      <c r="AQ35" s="248">
        <f t="shared" si="9"/>
      </c>
      <c r="AR35" s="248">
        <f t="shared" si="10"/>
      </c>
      <c r="AS35" s="248">
        <f>IF(AR35&lt;0,"",IF(AR35&lt;&gt;"",VLOOKUP(H35,テーブル!$Q$8:$W$106,2,0),""))</f>
      </c>
      <c r="AT35" s="248">
        <f>IF(AS35&lt;&gt;"",G35-VLOOKUP(AS35,テーブル!$S$8:$W$106,4,0)*AR35*G35/1000000,G35)</f>
        <v>1042222</v>
      </c>
      <c r="AU35" s="268" t="e">
        <f>IF(AS35&lt;&gt;"",AT35-VLOOKUP(H35,テーブル!$S$8:$W$106,4,0)*(AO35-AR35)*G35/1000000,AT35-VLOOKUP(H35,テーブル!$S$8:$W$106,4,0)*(AO35)*G35/1000000)</f>
        <v>#N/A</v>
      </c>
      <c r="AV35" s="284">
        <f t="shared" si="61"/>
        <v>0</v>
      </c>
      <c r="AW35" s="249">
        <f t="shared" si="11"/>
        <v>42948</v>
      </c>
      <c r="AX35" s="248">
        <f t="shared" si="63"/>
      </c>
      <c r="AY35" s="248">
        <f>IF(AV35&lt;&gt;0,IF(AV35&gt;INT(G35*0.05),(VLOOKUP(H35,テーブル!$S$2:T128,2,0)*G35*0.9),IF(AV35=INT(G35*0.05),INT((AV35-1)/5),0)),"")</f>
      </c>
      <c r="AZ35" s="248">
        <f t="shared" si="12"/>
      </c>
      <c r="BA35" s="248">
        <f t="shared" si="65"/>
      </c>
      <c r="BB35" s="248">
        <f t="shared" si="66"/>
      </c>
      <c r="BC35" s="248">
        <f t="shared" si="15"/>
      </c>
      <c r="BD35" s="261">
        <f t="shared" si="0"/>
      </c>
      <c r="BE35" s="248">
        <f t="shared" si="67"/>
      </c>
      <c r="BF35" s="248">
        <f t="shared" si="68"/>
      </c>
      <c r="BG35" s="248">
        <f t="shared" si="18"/>
      </c>
      <c r="BH35" s="248">
        <f t="shared" si="69"/>
      </c>
      <c r="BI35" s="248">
        <f t="shared" si="38"/>
      </c>
      <c r="BJ35" s="248">
        <f t="shared" si="70"/>
      </c>
      <c r="BK35" s="263">
        <f t="shared" si="75"/>
      </c>
      <c r="BL35" s="251">
        <f t="shared" si="39"/>
      </c>
      <c r="BM35" s="248">
        <f t="shared" si="21"/>
        <v>201708</v>
      </c>
      <c r="BN35" s="379">
        <f t="shared" si="77"/>
        <v>-103</v>
      </c>
      <c r="BO35" s="380">
        <f t="shared" si="78"/>
        <v>0</v>
      </c>
      <c r="BP35" s="248">
        <f t="shared" si="57"/>
        <v>1042222</v>
      </c>
      <c r="BQ35" s="248">
        <f t="shared" si="24"/>
        <v>12419.812166666667</v>
      </c>
      <c r="BR35" s="248">
        <f t="shared" si="62"/>
        <v>29</v>
      </c>
      <c r="BS35" s="392">
        <f t="shared" si="40"/>
        <v>831085.1931666667</v>
      </c>
      <c r="BT35" s="392" t="str">
        <f t="shared" si="41"/>
        <v>通常回</v>
      </c>
      <c r="BU35" s="338">
        <f t="shared" si="71"/>
        <v>149037.74599999998</v>
      </c>
      <c r="BV35" s="251">
        <f t="shared" si="72"/>
        <v>682047.4471666666</v>
      </c>
      <c r="BW35" s="339">
        <f t="shared" si="73"/>
        <v>149037.74599999998</v>
      </c>
      <c r="BX35" s="338">
        <f t="shared" si="74"/>
        <v>682047.4471666666</v>
      </c>
      <c r="BY35" s="338">
        <f t="shared" si="42"/>
        <v>149037.74599999998</v>
      </c>
      <c r="BZ35" s="341">
        <f t="shared" si="43"/>
        <v>149037.74599999998</v>
      </c>
      <c r="CA35" s="346">
        <f t="shared" si="44"/>
        <v>682047.4471666666</v>
      </c>
      <c r="CB35" s="251">
        <f t="shared" si="45"/>
        <v>682047.4471666666</v>
      </c>
      <c r="CC35" s="248"/>
      <c r="CD35" s="233"/>
      <c r="CE35" s="233"/>
      <c r="CF35" s="233"/>
      <c r="CG35" s="233"/>
      <c r="CH35" s="233"/>
      <c r="CI35" s="233"/>
      <c r="CJ35" s="233"/>
      <c r="CK35" s="233"/>
      <c r="CL35" s="233"/>
      <c r="CM35" s="233"/>
      <c r="CN35" s="120"/>
      <c r="CO35" s="70">
        <v>29</v>
      </c>
      <c r="CP35" s="74" t="str">
        <f t="shared" si="46"/>
        <v>フレコン</v>
      </c>
      <c r="CQ35" s="82">
        <f t="shared" si="47"/>
      </c>
      <c r="CR35" s="83" t="str">
        <f t="shared" si="48"/>
        <v>H29</v>
      </c>
      <c r="CS35" s="83">
        <f t="shared" si="49"/>
        <v>8</v>
      </c>
      <c r="CT35" s="86">
        <f t="shared" si="50"/>
      </c>
      <c r="CU35" s="85">
        <f t="shared" si="51"/>
        <v>1042222</v>
      </c>
      <c r="CV35" s="85">
        <f t="shared" si="29"/>
        <v>1042222</v>
      </c>
      <c r="CW35" s="229" t="str">
        <f t="shared" si="52"/>
        <v>新定額</v>
      </c>
      <c r="CX35" s="302">
        <f t="shared" si="58"/>
        <v>7</v>
      </c>
      <c r="CY35" s="340">
        <f t="shared" si="30"/>
        <v>0.143</v>
      </c>
      <c r="CZ35" s="79">
        <f t="shared" si="53"/>
        <v>12</v>
      </c>
      <c r="DA35" s="80" t="str">
        <f t="shared" si="54"/>
        <v>/12</v>
      </c>
      <c r="DB35" s="343">
        <f t="shared" si="59"/>
        <v>149038</v>
      </c>
      <c r="DC35" s="87" t="str">
        <f t="shared" si="31"/>
        <v>100%</v>
      </c>
      <c r="DD35" s="85">
        <f t="shared" si="64"/>
        <v>149038</v>
      </c>
      <c r="DE35" s="343">
        <f t="shared" si="60"/>
        <v>682047</v>
      </c>
      <c r="DF35" s="306">
        <f t="shared" si="32"/>
      </c>
      <c r="DH35" s="388"/>
      <c r="DI35" s="383"/>
      <c r="DJ35" s="383"/>
      <c r="DO35" s="120">
        <v>35</v>
      </c>
      <c r="DP35" s="120" t="s">
        <v>133</v>
      </c>
      <c r="DR35" s="120">
        <v>1960</v>
      </c>
    </row>
    <row r="36" spans="1:122" ht="13.5" customHeight="1">
      <c r="A36" s="290">
        <v>30</v>
      </c>
      <c r="B36" s="211" t="s">
        <v>646</v>
      </c>
      <c r="C36" s="212" t="s">
        <v>48</v>
      </c>
      <c r="D36" s="213"/>
      <c r="E36" s="214" t="s">
        <v>30</v>
      </c>
      <c r="F36" s="214">
        <v>8</v>
      </c>
      <c r="G36" s="215">
        <v>829132</v>
      </c>
      <c r="H36" s="216"/>
      <c r="I36" s="216">
        <v>8</v>
      </c>
      <c r="J36" s="217"/>
      <c r="K36" s="218"/>
      <c r="L36" s="218">
        <f t="shared" si="33"/>
      </c>
      <c r="M36" s="191">
        <f t="shared" si="2"/>
      </c>
      <c r="N36" s="194">
        <f t="shared" si="55"/>
        <v>103641.5</v>
      </c>
      <c r="O36" s="291">
        <f t="shared" si="56"/>
        <v>578665.0416666667</v>
      </c>
      <c r="P36" s="286">
        <f>IF(ISERROR(IF(AND(C36="◎",YEAR(AW36)&lt;1999),VLOOKUP(AS36,テーブル!$S$8:$W$106,2,0),"")),"",IF(AND(C36="◎",YEAR(AW36)&lt;1999),VLOOKUP(AS36,テーブル!$S$8:$W$106,2,0),""))</f>
      </c>
      <c r="Q36" s="276">
        <f t="shared" si="34"/>
      </c>
      <c r="R36" s="278">
        <f t="shared" si="35"/>
        <v>0</v>
      </c>
      <c r="S36" s="274" t="e">
        <f t="shared" si="3"/>
        <v>#VALUE!</v>
      </c>
      <c r="T36" s="276">
        <f>IF(AN36="旧定額",VLOOKUP(H36,[0]!旧償却率,2,0),IF(ISERROR(VLOOKUP(H36,[0]!新償却率,2,0)),"",IF(U36=0,"",VLOOKUP(H36,[0]!新償却率,2,0))))</f>
      </c>
      <c r="U36" s="274">
        <f t="shared" si="36"/>
        <v>0</v>
      </c>
      <c r="V36" s="274">
        <f t="shared" si="76"/>
      </c>
      <c r="W36" s="274">
        <f t="shared" si="5"/>
        <v>0</v>
      </c>
      <c r="X36" s="378" t="e">
        <f>IF(AN36="旧定額",T36,VLOOKUP(H36,テーブル!$C$8:$D$106,2,0))</f>
        <v>#N/A</v>
      </c>
      <c r="Y36" s="274" t="e">
        <f t="shared" si="6"/>
        <v>#N/A</v>
      </c>
      <c r="Z36" s="274"/>
      <c r="AA36" s="276">
        <f>IF(ISERROR(VLOOKUP(I36,テーブル!$S$8:$W$106,2,0)),"",IF(AN36="旧定額",VLOOKUP(I36,テーブル!$S$8:$W$106,2,0),VLOOKUP(I36,テーブル!$C$8:$D$106,2,0)))</f>
        <v>0.125</v>
      </c>
      <c r="AB36" s="236">
        <f t="shared" si="37"/>
      </c>
      <c r="AC36" s="232"/>
      <c r="AD36" s="232"/>
      <c r="AE36" s="232"/>
      <c r="AF36" s="232"/>
      <c r="AG36" s="232"/>
      <c r="AH36" s="232"/>
      <c r="AI36" s="270"/>
      <c r="AJ36" s="270"/>
      <c r="AK36" s="270"/>
      <c r="AL36" s="270"/>
      <c r="AM36" s="233"/>
      <c r="AN36" s="248" t="str">
        <f t="shared" si="7"/>
        <v>新定額</v>
      </c>
      <c r="AO36" s="248">
        <f t="shared" si="8"/>
      </c>
      <c r="AP36" s="248">
        <f>IF(AO36&lt;&gt;"",INT(G36-VLOOKUP(H36,テーブル!$S$8:$W$106,4,0)*AO36*G36/1000000),"")</f>
      </c>
      <c r="AQ36" s="248">
        <f t="shared" si="9"/>
      </c>
      <c r="AR36" s="248">
        <f t="shared" si="10"/>
      </c>
      <c r="AS36" s="248">
        <f>IF(AR36&lt;0,"",IF(AR36&lt;&gt;"",VLOOKUP(H36,テーブル!$Q$8:$W$106,2,0),""))</f>
      </c>
      <c r="AT36" s="248">
        <f>IF(AS36&lt;&gt;"",G36-VLOOKUP(AS36,テーブル!$S$8:$W$106,4,0)*AR36*G36/1000000,G36)</f>
        <v>829132</v>
      </c>
      <c r="AU36" s="268" t="e">
        <f>IF(AS36&lt;&gt;"",AT36-VLOOKUP(H36,テーブル!$S$8:$W$106,4,0)*(AO36-AR36)*G36/1000000,AT36-VLOOKUP(H36,テーブル!$S$8:$W$106,4,0)*(AO36)*G36/1000000)</f>
        <v>#N/A</v>
      </c>
      <c r="AV36" s="284">
        <f t="shared" si="61"/>
        <v>0</v>
      </c>
      <c r="AW36" s="249">
        <f t="shared" si="11"/>
        <v>42948</v>
      </c>
      <c r="AX36" s="248">
        <f t="shared" si="63"/>
      </c>
      <c r="AY36" s="248">
        <f>IF(AV36&lt;&gt;0,IF(AV36&gt;INT(G36*0.05),(VLOOKUP(H36,テーブル!$S$2:T129,2,0)*G36*0.9),IF(AV36=INT(G36*0.05),INT((AV36-1)/5),0)),"")</f>
      </c>
      <c r="AZ36" s="248">
        <f t="shared" si="12"/>
      </c>
      <c r="BA36" s="248">
        <f t="shared" si="65"/>
      </c>
      <c r="BB36" s="248">
        <f t="shared" si="66"/>
      </c>
      <c r="BC36" s="248">
        <f t="shared" si="15"/>
      </c>
      <c r="BD36" s="261">
        <f t="shared" si="0"/>
      </c>
      <c r="BE36" s="248">
        <f t="shared" si="67"/>
      </c>
      <c r="BF36" s="248">
        <f t="shared" si="68"/>
      </c>
      <c r="BG36" s="248">
        <f t="shared" si="18"/>
      </c>
      <c r="BH36" s="248">
        <f t="shared" si="69"/>
      </c>
      <c r="BI36" s="248">
        <f t="shared" si="38"/>
      </c>
      <c r="BJ36" s="248">
        <f t="shared" si="70"/>
      </c>
      <c r="BK36" s="263">
        <f t="shared" si="75"/>
      </c>
      <c r="BL36" s="251">
        <f t="shared" si="39"/>
      </c>
      <c r="BM36" s="248">
        <f t="shared" si="21"/>
        <v>201708</v>
      </c>
      <c r="BN36" s="379">
        <f t="shared" si="77"/>
        <v>-103</v>
      </c>
      <c r="BO36" s="380">
        <f t="shared" si="78"/>
        <v>0</v>
      </c>
      <c r="BP36" s="248">
        <f t="shared" si="57"/>
        <v>829132</v>
      </c>
      <c r="BQ36" s="248">
        <f t="shared" si="24"/>
        <v>8636.791666666666</v>
      </c>
      <c r="BR36" s="248">
        <f t="shared" si="62"/>
        <v>29</v>
      </c>
      <c r="BS36" s="392">
        <f t="shared" si="40"/>
        <v>682306.5416666667</v>
      </c>
      <c r="BT36" s="392" t="str">
        <f t="shared" si="41"/>
        <v>通常回</v>
      </c>
      <c r="BU36" s="338">
        <f t="shared" si="71"/>
        <v>103641.5</v>
      </c>
      <c r="BV36" s="251">
        <f t="shared" si="72"/>
        <v>578665.0416666667</v>
      </c>
      <c r="BW36" s="339">
        <f t="shared" si="73"/>
        <v>103641.5</v>
      </c>
      <c r="BX36" s="338">
        <f t="shared" si="74"/>
        <v>578665.0416666667</v>
      </c>
      <c r="BY36" s="338">
        <f t="shared" si="42"/>
        <v>103641.5</v>
      </c>
      <c r="BZ36" s="341">
        <f t="shared" si="43"/>
        <v>103641.5</v>
      </c>
      <c r="CA36" s="346">
        <f t="shared" si="44"/>
        <v>578665.0416666667</v>
      </c>
      <c r="CB36" s="251">
        <f t="shared" si="45"/>
        <v>578665.0416666667</v>
      </c>
      <c r="CC36" s="248"/>
      <c r="CD36" s="233"/>
      <c r="CE36" s="233"/>
      <c r="CF36" s="233"/>
      <c r="CG36" s="233"/>
      <c r="CH36" s="233"/>
      <c r="CI36" s="233"/>
      <c r="CJ36" s="233"/>
      <c r="CK36" s="233"/>
      <c r="CL36" s="233"/>
      <c r="CM36" s="233"/>
      <c r="CN36" s="120"/>
      <c r="CO36" s="73">
        <v>30</v>
      </c>
      <c r="CP36" s="74" t="str">
        <f t="shared" si="46"/>
        <v>作業所改良</v>
      </c>
      <c r="CQ36" s="82">
        <f t="shared" si="47"/>
      </c>
      <c r="CR36" s="83" t="str">
        <f t="shared" si="48"/>
        <v>H29</v>
      </c>
      <c r="CS36" s="83">
        <f t="shared" si="49"/>
        <v>8</v>
      </c>
      <c r="CT36" s="86">
        <f t="shared" si="50"/>
      </c>
      <c r="CU36" s="85">
        <f t="shared" si="51"/>
        <v>829132</v>
      </c>
      <c r="CV36" s="85">
        <f t="shared" si="29"/>
        <v>829132</v>
      </c>
      <c r="CW36" s="229" t="str">
        <f t="shared" si="52"/>
        <v>新定額</v>
      </c>
      <c r="CX36" s="302">
        <f t="shared" si="58"/>
        <v>8</v>
      </c>
      <c r="CY36" s="340">
        <f t="shared" si="30"/>
        <v>0.125</v>
      </c>
      <c r="CZ36" s="79">
        <f t="shared" si="53"/>
        <v>12</v>
      </c>
      <c r="DA36" s="80" t="str">
        <f t="shared" si="54"/>
        <v>/12</v>
      </c>
      <c r="DB36" s="343">
        <f t="shared" si="59"/>
        <v>103642</v>
      </c>
      <c r="DC36" s="87" t="str">
        <f t="shared" si="31"/>
        <v>100%</v>
      </c>
      <c r="DD36" s="85">
        <f t="shared" si="64"/>
        <v>103642</v>
      </c>
      <c r="DE36" s="343">
        <f t="shared" si="60"/>
        <v>578665</v>
      </c>
      <c r="DF36" s="306">
        <f t="shared" si="32"/>
      </c>
      <c r="DH36" s="388"/>
      <c r="DI36" s="383"/>
      <c r="DJ36" s="383"/>
      <c r="DO36" s="120">
        <v>36</v>
      </c>
      <c r="DP36" s="120" t="s">
        <v>134</v>
      </c>
      <c r="DR36" s="120">
        <v>1961</v>
      </c>
    </row>
    <row r="37" spans="1:122" ht="13.5" customHeight="1">
      <c r="A37" s="292">
        <v>31</v>
      </c>
      <c r="B37" s="211" t="s">
        <v>647</v>
      </c>
      <c r="C37" s="212"/>
      <c r="D37" s="213"/>
      <c r="E37" s="214" t="s">
        <v>428</v>
      </c>
      <c r="F37" s="214">
        <v>9</v>
      </c>
      <c r="G37" s="215">
        <v>507600</v>
      </c>
      <c r="H37" s="216"/>
      <c r="I37" s="216">
        <v>7</v>
      </c>
      <c r="J37" s="217"/>
      <c r="K37" s="218"/>
      <c r="L37" s="218">
        <f t="shared" si="33"/>
      </c>
      <c r="M37" s="191">
        <f t="shared" si="2"/>
      </c>
      <c r="N37" s="194">
        <f t="shared" si="55"/>
        <v>72586.79999999999</v>
      </c>
      <c r="O37" s="291">
        <f t="shared" si="56"/>
        <v>410817.60000000003</v>
      </c>
      <c r="P37" s="286">
        <f>IF(ISERROR(IF(AND(C37="◎",YEAR(AW37)&lt;1999),VLOOKUP(AS37,テーブル!$S$8:$W$106,2,0),"")),"",IF(AND(C37="◎",YEAR(AW37)&lt;1999),VLOOKUP(AS37,テーブル!$S$8:$W$106,2,0),""))</f>
      </c>
      <c r="Q37" s="276">
        <f t="shared" si="34"/>
      </c>
      <c r="R37" s="278">
        <f t="shared" si="35"/>
        <v>0</v>
      </c>
      <c r="S37" s="274" t="e">
        <f t="shared" si="3"/>
        <v>#VALUE!</v>
      </c>
      <c r="T37" s="276">
        <f>IF(AN37="旧定額",VLOOKUP(H37,[0]!旧償却率,2,0),IF(ISERROR(VLOOKUP(H37,[0]!新償却率,2,0)),"",IF(U37=0,"",VLOOKUP(H37,[0]!新償却率,2,0))))</f>
      </c>
      <c r="U37" s="274">
        <f t="shared" si="36"/>
        <v>0</v>
      </c>
      <c r="V37" s="274">
        <f t="shared" si="76"/>
      </c>
      <c r="W37" s="274">
        <f t="shared" si="5"/>
        <v>0</v>
      </c>
      <c r="X37" s="378" t="e">
        <f>IF(AN37="旧定額",T37,VLOOKUP(H37,テーブル!$C$8:$D$106,2,0))</f>
        <v>#N/A</v>
      </c>
      <c r="Y37" s="274" t="e">
        <f t="shared" si="6"/>
        <v>#N/A</v>
      </c>
      <c r="Z37" s="274"/>
      <c r="AA37" s="276">
        <f>IF(ISERROR(VLOOKUP(I37,テーブル!$S$8:$W$106,2,0)),"",IF(AN37="旧定額",VLOOKUP(I37,テーブル!$S$8:$W$106,2,0),VLOOKUP(I37,テーブル!$C$8:$D$106,2,0)))</f>
        <v>0.143</v>
      </c>
      <c r="AB37" s="236">
        <f t="shared" si="37"/>
      </c>
      <c r="AC37" s="232"/>
      <c r="AD37" s="232"/>
      <c r="AE37" s="232"/>
      <c r="AF37" s="232"/>
      <c r="AG37" s="232"/>
      <c r="AH37" s="232"/>
      <c r="AI37" s="270"/>
      <c r="AJ37" s="270"/>
      <c r="AK37" s="270"/>
      <c r="AL37" s="270"/>
      <c r="AM37" s="233"/>
      <c r="AN37" s="248" t="str">
        <f t="shared" si="7"/>
        <v>新定額</v>
      </c>
      <c r="AO37" s="248">
        <f t="shared" si="8"/>
      </c>
      <c r="AP37" s="248">
        <f>IF(AO37&lt;&gt;"",INT(G37-VLOOKUP(H37,テーブル!$S$8:$W$106,4,0)*AO37*G37/1000000),"")</f>
      </c>
      <c r="AQ37" s="248">
        <f t="shared" si="9"/>
      </c>
      <c r="AR37" s="248">
        <f t="shared" si="10"/>
      </c>
      <c r="AS37" s="248">
        <f>IF(AR37&lt;0,"",IF(AR37&lt;&gt;"",VLOOKUP(H37,テーブル!$Q$8:$W$106,2,0),""))</f>
      </c>
      <c r="AT37" s="248">
        <f>IF(AS37&lt;&gt;"",G37-VLOOKUP(AS37,テーブル!$S$8:$W$106,4,0)*AR37*G37/1000000,G37)</f>
        <v>507600</v>
      </c>
      <c r="AU37" s="268" t="e">
        <f>IF(AS37&lt;&gt;"",AT37-VLOOKUP(H37,テーブル!$S$8:$W$106,4,0)*(AO37-AR37)*G37/1000000,AT37-VLOOKUP(H37,テーブル!$S$8:$W$106,4,0)*(AO37)*G37/1000000)</f>
        <v>#N/A</v>
      </c>
      <c r="AV37" s="284">
        <f t="shared" si="61"/>
        <v>0</v>
      </c>
      <c r="AW37" s="249">
        <f t="shared" si="11"/>
        <v>43344</v>
      </c>
      <c r="AX37" s="248">
        <f t="shared" si="63"/>
      </c>
      <c r="AY37" s="248">
        <f>IF(AV37&lt;&gt;0,IF(AV37&gt;INT(G37*0.05),(VLOOKUP(H37,テーブル!$S$2:T130,2,0)*G37*0.9),IF(AV37=INT(G37*0.05),INT((AV37-1)/5),0)),"")</f>
      </c>
      <c r="AZ37" s="248">
        <f t="shared" si="12"/>
      </c>
      <c r="BA37" s="248">
        <f t="shared" si="65"/>
      </c>
      <c r="BB37" s="248">
        <f t="shared" si="66"/>
      </c>
      <c r="BC37" s="248">
        <f t="shared" si="15"/>
      </c>
      <c r="BD37" s="261">
        <f t="shared" si="0"/>
      </c>
      <c r="BE37" s="248">
        <f t="shared" si="67"/>
      </c>
      <c r="BF37" s="248">
        <f t="shared" si="68"/>
      </c>
      <c r="BG37" s="248">
        <f t="shared" si="18"/>
      </c>
      <c r="BH37" s="248">
        <f t="shared" si="69"/>
      </c>
      <c r="BI37" s="248">
        <f t="shared" si="38"/>
      </c>
      <c r="BJ37" s="248">
        <f t="shared" si="70"/>
      </c>
      <c r="BK37" s="263">
        <f t="shared" si="75"/>
      </c>
      <c r="BL37" s="251">
        <f t="shared" si="39"/>
      </c>
      <c r="BM37" s="248">
        <f t="shared" si="21"/>
        <v>201809</v>
      </c>
      <c r="BN37" s="379">
        <f t="shared" si="77"/>
        <v>-116</v>
      </c>
      <c r="BO37" s="380">
        <f t="shared" si="78"/>
        <v>0</v>
      </c>
      <c r="BP37" s="248">
        <f t="shared" si="57"/>
        <v>507600</v>
      </c>
      <c r="BQ37" s="248">
        <f t="shared" si="24"/>
        <v>6048.9</v>
      </c>
      <c r="BR37" s="248">
        <f t="shared" si="62"/>
        <v>16</v>
      </c>
      <c r="BS37" s="392">
        <f t="shared" si="40"/>
        <v>483404.4</v>
      </c>
      <c r="BT37" s="392" t="str">
        <f t="shared" si="41"/>
        <v>通常回</v>
      </c>
      <c r="BU37" s="338">
        <f t="shared" si="71"/>
        <v>72586.79999999999</v>
      </c>
      <c r="BV37" s="251">
        <f t="shared" si="72"/>
        <v>410817.60000000003</v>
      </c>
      <c r="BW37" s="339">
        <f t="shared" si="73"/>
        <v>72586.79999999999</v>
      </c>
      <c r="BX37" s="338">
        <f t="shared" si="74"/>
        <v>410817.60000000003</v>
      </c>
      <c r="BY37" s="338">
        <f t="shared" si="42"/>
        <v>72586.79999999999</v>
      </c>
      <c r="BZ37" s="341">
        <f t="shared" si="43"/>
        <v>72586.79999999999</v>
      </c>
      <c r="CA37" s="346">
        <f t="shared" si="44"/>
        <v>410817.60000000003</v>
      </c>
      <c r="CB37" s="251">
        <f t="shared" si="45"/>
        <v>410817.60000000003</v>
      </c>
      <c r="CC37" s="248"/>
      <c r="CD37" s="233"/>
      <c r="CE37" s="233"/>
      <c r="CF37" s="233"/>
      <c r="CG37" s="233"/>
      <c r="CH37" s="233"/>
      <c r="CI37" s="233"/>
      <c r="CJ37" s="233"/>
      <c r="CK37" s="233"/>
      <c r="CL37" s="233"/>
      <c r="CM37" s="233"/>
      <c r="CN37" s="120"/>
      <c r="CO37" s="73">
        <v>31</v>
      </c>
      <c r="CP37" s="74" t="str">
        <f t="shared" si="46"/>
        <v>グレンコンテナ</v>
      </c>
      <c r="CQ37" s="82">
        <f t="shared" si="47"/>
      </c>
      <c r="CR37" s="83" t="str">
        <f t="shared" si="48"/>
        <v>H30</v>
      </c>
      <c r="CS37" s="83">
        <f t="shared" si="49"/>
        <v>9</v>
      </c>
      <c r="CT37" s="86">
        <f t="shared" si="50"/>
      </c>
      <c r="CU37" s="85">
        <f t="shared" si="51"/>
        <v>507600</v>
      </c>
      <c r="CV37" s="85">
        <f t="shared" si="29"/>
        <v>507600</v>
      </c>
      <c r="CW37" s="229" t="str">
        <f t="shared" si="52"/>
        <v>新定額</v>
      </c>
      <c r="CX37" s="302">
        <f t="shared" si="58"/>
        <v>7</v>
      </c>
      <c r="CY37" s="340">
        <f t="shared" si="30"/>
        <v>0.143</v>
      </c>
      <c r="CZ37" s="79">
        <f t="shared" si="53"/>
        <v>12</v>
      </c>
      <c r="DA37" s="80" t="str">
        <f t="shared" si="54"/>
        <v>/12</v>
      </c>
      <c r="DB37" s="343">
        <f t="shared" si="59"/>
        <v>72587</v>
      </c>
      <c r="DC37" s="87" t="str">
        <f t="shared" si="31"/>
        <v>100%</v>
      </c>
      <c r="DD37" s="85">
        <f t="shared" si="64"/>
        <v>72587</v>
      </c>
      <c r="DE37" s="343">
        <f t="shared" si="60"/>
        <v>410818</v>
      </c>
      <c r="DF37" s="306">
        <f t="shared" si="32"/>
      </c>
      <c r="DH37" s="388"/>
      <c r="DI37" s="383"/>
      <c r="DJ37" s="383"/>
      <c r="DO37" s="120">
        <v>37</v>
      </c>
      <c r="DP37" s="120" t="s">
        <v>135</v>
      </c>
      <c r="DR37" s="120">
        <v>1962</v>
      </c>
    </row>
    <row r="38" spans="1:122" ht="13.5" customHeight="1">
      <c r="A38" s="481" t="s">
        <v>58</v>
      </c>
      <c r="B38" s="460" t="s">
        <v>664</v>
      </c>
      <c r="C38" s="461"/>
      <c r="D38" s="365"/>
      <c r="E38" s="366" t="s">
        <v>30</v>
      </c>
      <c r="F38" s="366">
        <v>12</v>
      </c>
      <c r="G38" s="367">
        <v>150000</v>
      </c>
      <c r="H38" s="367"/>
      <c r="I38" s="368"/>
      <c r="J38" s="369"/>
      <c r="K38" s="370"/>
      <c r="L38" s="218"/>
      <c r="M38" s="192">
        <f>IF(DB38="","償却済等は削除を","")</f>
      </c>
      <c r="N38" s="195">
        <f aca="true" t="shared" si="79" ref="N38:O40">CA38</f>
        <v>50000</v>
      </c>
      <c r="O38" s="293">
        <f t="shared" si="79"/>
        <v>0</v>
      </c>
      <c r="P38" s="287"/>
      <c r="Q38" s="275"/>
      <c r="R38" s="275"/>
      <c r="S38" s="275"/>
      <c r="T38" s="275"/>
      <c r="U38" s="275"/>
      <c r="V38" s="275"/>
      <c r="W38" s="275"/>
      <c r="X38" s="275"/>
      <c r="Y38" s="275"/>
      <c r="Z38" s="275"/>
      <c r="AA38" s="275"/>
      <c r="AB38" s="232"/>
      <c r="AC38" s="232"/>
      <c r="AD38" s="232"/>
      <c r="AE38" s="232"/>
      <c r="AF38" s="232"/>
      <c r="AG38" s="232"/>
      <c r="AH38" s="232"/>
      <c r="AI38" s="270"/>
      <c r="AJ38" s="270"/>
      <c r="AK38" s="270"/>
      <c r="AL38" s="270"/>
      <c r="AM38" s="233"/>
      <c r="AN38" s="252" t="s">
        <v>268</v>
      </c>
      <c r="AO38" s="253" t="s">
        <v>269</v>
      </c>
      <c r="AP38" s="253">
        <f>INT(G38/3)</f>
        <v>50000</v>
      </c>
      <c r="AQ38" s="253" t="s">
        <v>270</v>
      </c>
      <c r="AR38" s="253">
        <f>INT(G38/3)</f>
        <v>50000</v>
      </c>
      <c r="AS38" s="253" t="s">
        <v>271</v>
      </c>
      <c r="AT38" s="253">
        <f>G38-AP38-AR38</f>
        <v>50000</v>
      </c>
      <c r="AU38" s="253" t="s">
        <v>272</v>
      </c>
      <c r="AV38" s="410">
        <f>AX43</f>
        <v>3</v>
      </c>
      <c r="AW38" s="253" t="s">
        <v>273</v>
      </c>
      <c r="AX38" s="253">
        <f>IF(AV38&lt;&gt;"",IF(AV38=3,AT38,AR38),"")</f>
        <v>50000</v>
      </c>
      <c r="AY38" s="253" t="s">
        <v>274</v>
      </c>
      <c r="AZ38" s="253">
        <f>IF(AV38=3,G38,IF(AV38=2,AR38*2,IF(AV38=1,AR38,"")))</f>
        <v>150000</v>
      </c>
      <c r="BA38" s="253">
        <f>IF(AZ38&lt;&gt;"",AV38-AZ38,"")</f>
        <v>-149997</v>
      </c>
      <c r="BB38" s="253">
        <f>IF(BA38&lt;&gt;"",IF(K38&lt;&gt;"",K38+($BE$3-1)*12,$BE$3*12),"")</f>
        <v>132</v>
      </c>
      <c r="BC38" s="253"/>
      <c r="BD38" s="253"/>
      <c r="BE38" s="253"/>
      <c r="BF38" s="253"/>
      <c r="BG38" s="253"/>
      <c r="BH38" s="253"/>
      <c r="BI38" s="253"/>
      <c r="BJ38" s="253"/>
      <c r="BK38" s="253"/>
      <c r="BL38" s="253"/>
      <c r="BM38" s="253">
        <f t="shared" si="21"/>
        <v>2017012</v>
      </c>
      <c r="BN38" s="253"/>
      <c r="BO38" s="253"/>
      <c r="BP38" s="253"/>
      <c r="BQ38" s="253"/>
      <c r="BR38" s="253"/>
      <c r="BS38" s="253"/>
      <c r="BT38" s="253"/>
      <c r="BU38" s="253"/>
      <c r="BV38" s="253"/>
      <c r="BW38" s="253">
        <f>AX38</f>
        <v>50000</v>
      </c>
      <c r="BX38" s="253"/>
      <c r="BY38" s="253"/>
      <c r="BZ38" s="253">
        <f>IF(BW38&lt;&gt;"",IF(J38&lt;&gt;"",INT(BW38*J38),BW38),"")</f>
        <v>50000</v>
      </c>
      <c r="CA38" s="253">
        <f>IF(K38&lt;&gt;"",INT(BZ38*K38/12),BZ38)</f>
        <v>50000</v>
      </c>
      <c r="CB38" s="360">
        <f>IF(ISERROR(G38-AZ38)=TRUE,"",G38-AZ38)</f>
        <v>0</v>
      </c>
      <c r="CC38" s="254"/>
      <c r="CD38" s="233"/>
      <c r="CE38" s="233"/>
      <c r="CF38" s="233"/>
      <c r="CG38" s="233"/>
      <c r="CH38" s="233"/>
      <c r="CI38" s="233"/>
      <c r="CJ38" s="233"/>
      <c r="CK38" s="233"/>
      <c r="CL38" s="233"/>
      <c r="CM38" s="233"/>
      <c r="CN38" s="120"/>
      <c r="CO38" s="70">
        <v>32</v>
      </c>
      <c r="CP38" s="74" t="str">
        <f>IF(AV38&lt;&gt;"",B38,"")</f>
        <v>その１</v>
      </c>
      <c r="CQ38" s="82">
        <f>IF(D38&lt;&gt;"",D38,"")</f>
      </c>
      <c r="CR38" s="83" t="str">
        <f>IF(AV38&lt;&gt;"",E38,"")</f>
        <v>H29</v>
      </c>
      <c r="CS38" s="83">
        <f>IF(AV38&lt;&gt;"",F38,"")</f>
        <v>12</v>
      </c>
      <c r="CT38" s="86">
        <f>IF(K38&lt;&gt;"",K38,"")</f>
      </c>
      <c r="CU38" s="85">
        <f>IF(AV38&lt;&gt;"",G38,"")</f>
        <v>150000</v>
      </c>
      <c r="CV38" s="85"/>
      <c r="CW38" s="86" t="str">
        <f>IF(CP38&lt;&gt;"","均等","")</f>
        <v>均等</v>
      </c>
      <c r="CX38" s="84" t="s">
        <v>49</v>
      </c>
      <c r="CY38" s="88" t="str">
        <f>IF(CW38&lt;&gt;"","1/3","")</f>
        <v>1/3</v>
      </c>
      <c r="CZ38" s="89"/>
      <c r="DA38" s="80">
        <f t="shared" si="54"/>
      </c>
      <c r="DB38" s="77">
        <f>IF(BW38&lt;&gt;"",ROUND(BW38,0),"")</f>
        <v>50000</v>
      </c>
      <c r="DC38" s="87" t="str">
        <f t="shared" si="31"/>
        <v>100%</v>
      </c>
      <c r="DD38" s="85">
        <f>IF(CA38&lt;&gt;"",ROUND(CA38,0),"")</f>
        <v>50000</v>
      </c>
      <c r="DE38" s="85">
        <f>IF(CB38&lt;&gt;"",(CB38),"")</f>
        <v>0</v>
      </c>
      <c r="DF38" s="307">
        <f>IF(AX38="均等償却",AX38,"")</f>
      </c>
      <c r="DH38" s="388"/>
      <c r="DI38" s="383"/>
      <c r="DJ38" s="383"/>
      <c r="DO38" s="120">
        <v>38</v>
      </c>
      <c r="DP38" s="120" t="s">
        <v>592</v>
      </c>
      <c r="DR38" s="120">
        <v>1963</v>
      </c>
    </row>
    <row r="39" spans="1:122" ht="13.5" customHeight="1">
      <c r="A39" s="482"/>
      <c r="B39" s="460" t="s">
        <v>665</v>
      </c>
      <c r="C39" s="461"/>
      <c r="D39" s="365"/>
      <c r="E39" s="366" t="s">
        <v>428</v>
      </c>
      <c r="F39" s="366">
        <v>12</v>
      </c>
      <c r="G39" s="367">
        <v>150000</v>
      </c>
      <c r="H39" s="367"/>
      <c r="I39" s="368"/>
      <c r="J39" s="369"/>
      <c r="K39" s="370"/>
      <c r="L39" s="218"/>
      <c r="M39" s="192">
        <f>IF(DB39="","償却済等は削除を","")</f>
      </c>
      <c r="N39" s="195">
        <f t="shared" si="79"/>
        <v>50000</v>
      </c>
      <c r="O39" s="293">
        <f t="shared" si="79"/>
        <v>50000</v>
      </c>
      <c r="P39" s="287"/>
      <c r="Q39" s="275"/>
      <c r="R39" s="275"/>
      <c r="S39" s="275"/>
      <c r="T39" s="275"/>
      <c r="U39" s="275"/>
      <c r="V39" s="275"/>
      <c r="W39" s="275"/>
      <c r="X39" s="275"/>
      <c r="Y39" s="275"/>
      <c r="Z39" s="275"/>
      <c r="AA39" s="275"/>
      <c r="AB39" s="232"/>
      <c r="AC39" s="232"/>
      <c r="AD39" s="232"/>
      <c r="AE39" s="232"/>
      <c r="AF39" s="232"/>
      <c r="AG39" s="232"/>
      <c r="AH39" s="232"/>
      <c r="AI39" s="270"/>
      <c r="AJ39" s="270"/>
      <c r="AK39" s="270"/>
      <c r="AL39" s="270"/>
      <c r="AM39" s="233"/>
      <c r="AN39" s="255"/>
      <c r="AO39" s="250"/>
      <c r="AP39" s="250">
        <f>INT(G39/3)</f>
        <v>50000</v>
      </c>
      <c r="AQ39" s="250"/>
      <c r="AR39" s="250">
        <f>INT(G39/3)</f>
        <v>50000</v>
      </c>
      <c r="AS39" s="250"/>
      <c r="AT39" s="250">
        <f>G39-AP39-AR39</f>
        <v>50000</v>
      </c>
      <c r="AU39" s="250"/>
      <c r="AV39" s="410">
        <f>AX44</f>
        <v>2</v>
      </c>
      <c r="AW39" s="250"/>
      <c r="AX39" s="250">
        <f>IF(AV39&lt;&gt;"",IF(AV39=3,AT39,AR39),"")</f>
        <v>50000</v>
      </c>
      <c r="AY39" s="250"/>
      <c r="AZ39" s="250">
        <f>IF(AV39=3,G39,IF(AV39=2,AR39*2,IF(AV39=1,AR39,"")))</f>
        <v>100000</v>
      </c>
      <c r="BA39" s="253">
        <f>IF(AZ39&lt;&gt;"",AV39-AZ39,"")</f>
        <v>-99998</v>
      </c>
      <c r="BB39" s="253">
        <f>IF(BA39&lt;&gt;"",IF(K39&lt;&gt;"",K39+($BE$3-1)*12,$BE$3*12),"")</f>
        <v>132</v>
      </c>
      <c r="BC39" s="250"/>
      <c r="BD39" s="250"/>
      <c r="BE39" s="250"/>
      <c r="BF39" s="250"/>
      <c r="BG39" s="250"/>
      <c r="BH39" s="250"/>
      <c r="BI39" s="250"/>
      <c r="BJ39" s="250"/>
      <c r="BK39" s="250"/>
      <c r="BL39" s="250"/>
      <c r="BM39" s="250">
        <f t="shared" si="21"/>
        <v>2018012</v>
      </c>
      <c r="BN39" s="250"/>
      <c r="BO39" s="250"/>
      <c r="BP39" s="250"/>
      <c r="BQ39" s="250"/>
      <c r="BR39" s="250"/>
      <c r="BS39" s="250"/>
      <c r="BT39" s="250"/>
      <c r="BU39" s="250"/>
      <c r="BV39" s="250"/>
      <c r="BW39" s="250">
        <f>AX39</f>
        <v>50000</v>
      </c>
      <c r="BX39" s="250"/>
      <c r="BY39" s="250"/>
      <c r="BZ39" s="250">
        <f>IF(BW39&lt;&gt;"",IF(J39&lt;&gt;"",INT(BW39*J39),BW39),"")</f>
        <v>50000</v>
      </c>
      <c r="CA39" s="250">
        <f>IF(K39&lt;&gt;"",INT(BZ39*K39/12),BZ39)</f>
        <v>50000</v>
      </c>
      <c r="CB39" s="360">
        <f>IF(ISERROR(G39-AZ39)=TRUE,"",G39-AZ39)</f>
        <v>50000</v>
      </c>
      <c r="CC39" s="256"/>
      <c r="CD39" s="233"/>
      <c r="CE39" s="233"/>
      <c r="CF39" s="233"/>
      <c r="CG39" s="233"/>
      <c r="CH39" s="233"/>
      <c r="CI39" s="233"/>
      <c r="CJ39" s="233"/>
      <c r="CK39" s="233"/>
      <c r="CL39" s="233"/>
      <c r="CM39" s="233"/>
      <c r="CN39" s="120"/>
      <c r="CO39" s="73">
        <v>33</v>
      </c>
      <c r="CP39" s="74" t="str">
        <f>IF(AV39&lt;&gt;"",B39,"")</f>
        <v>その２</v>
      </c>
      <c r="CQ39" s="82">
        <f>IF(D39&lt;&gt;"",D39,"")</f>
      </c>
      <c r="CR39" s="83" t="str">
        <f>IF(AV39&lt;&gt;"",E39,"")</f>
        <v>H30</v>
      </c>
      <c r="CS39" s="83">
        <f>IF(AV39&lt;&gt;"",F39,"")</f>
        <v>12</v>
      </c>
      <c r="CT39" s="86">
        <f>IF(K39&lt;&gt;"",K39,"")</f>
      </c>
      <c r="CU39" s="85">
        <f>IF(AV39&lt;&gt;"",G39,"")</f>
        <v>150000</v>
      </c>
      <c r="CV39" s="85" t="s">
        <v>49</v>
      </c>
      <c r="CW39" s="86" t="str">
        <f>IF(CP39&lt;&gt;"","均等","")</f>
        <v>均等</v>
      </c>
      <c r="CX39" s="84" t="s">
        <v>49</v>
      </c>
      <c r="CY39" s="88" t="str">
        <f>IF(CW39&lt;&gt;"","1/3","")</f>
        <v>1/3</v>
      </c>
      <c r="CZ39" s="89"/>
      <c r="DA39" s="80" t="s">
        <v>49</v>
      </c>
      <c r="DB39" s="77">
        <f>IF(BW39&lt;&gt;"",ROUND(BW39,0),"")</f>
        <v>50000</v>
      </c>
      <c r="DC39" s="87" t="str">
        <f t="shared" si="31"/>
        <v>100%</v>
      </c>
      <c r="DD39" s="85">
        <f>IF(CA39&lt;&gt;"",ROUND(CA39,0),"")</f>
        <v>50000</v>
      </c>
      <c r="DE39" s="85">
        <f>IF(CB39&lt;&gt;"",(CB39),"")</f>
        <v>50000</v>
      </c>
      <c r="DF39" s="307">
        <f>IF(AX39="均等償却",AX39,"")</f>
      </c>
      <c r="DH39" s="388"/>
      <c r="DI39" s="383"/>
      <c r="DJ39" s="383"/>
      <c r="DO39" s="120">
        <v>39</v>
      </c>
      <c r="DP39" s="120" t="s">
        <v>136</v>
      </c>
      <c r="DR39" s="120">
        <v>1964</v>
      </c>
    </row>
    <row r="40" spans="1:122" ht="13.5" customHeight="1" thickBot="1">
      <c r="A40" s="483"/>
      <c r="B40" s="462" t="s">
        <v>666</v>
      </c>
      <c r="C40" s="463"/>
      <c r="D40" s="371"/>
      <c r="E40" s="372">
        <v>1</v>
      </c>
      <c r="F40" s="372">
        <v>4</v>
      </c>
      <c r="G40" s="373">
        <v>150000</v>
      </c>
      <c r="H40" s="374"/>
      <c r="I40" s="375"/>
      <c r="J40" s="376"/>
      <c r="K40" s="377"/>
      <c r="L40" s="294"/>
      <c r="M40" s="295">
        <f>IF(DB40="","償却済等は削除を","")</f>
      </c>
      <c r="N40" s="296">
        <f t="shared" si="79"/>
        <v>50000</v>
      </c>
      <c r="O40" s="297">
        <f t="shared" si="79"/>
        <v>100000</v>
      </c>
      <c r="P40" s="287"/>
      <c r="Q40" s="275"/>
      <c r="R40" s="275"/>
      <c r="S40" s="275"/>
      <c r="T40" s="275"/>
      <c r="U40" s="275"/>
      <c r="V40" s="275"/>
      <c r="W40" s="275"/>
      <c r="X40" s="275"/>
      <c r="Y40" s="275"/>
      <c r="Z40" s="275"/>
      <c r="AA40" s="275"/>
      <c r="AB40" s="232"/>
      <c r="AC40" s="232"/>
      <c r="AD40" s="232"/>
      <c r="AE40" s="232"/>
      <c r="AF40" s="232"/>
      <c r="AG40" s="232"/>
      <c r="AH40" s="232"/>
      <c r="AI40" s="270"/>
      <c r="AJ40" s="270"/>
      <c r="AK40" s="270"/>
      <c r="AL40" s="270"/>
      <c r="AM40" s="233"/>
      <c r="AN40" s="257"/>
      <c r="AO40" s="258"/>
      <c r="AP40" s="258">
        <f>INT(G40/3)</f>
        <v>50000</v>
      </c>
      <c r="AQ40" s="258"/>
      <c r="AR40" s="258">
        <f>INT(G40/3)</f>
        <v>50000</v>
      </c>
      <c r="AS40" s="258"/>
      <c r="AT40" s="258">
        <f>G40-AP40-AR40</f>
        <v>50000</v>
      </c>
      <c r="AU40" s="258"/>
      <c r="AV40" s="410">
        <f>AX45</f>
        <v>1</v>
      </c>
      <c r="AW40" s="258"/>
      <c r="AX40" s="258">
        <f>IF(AV40&lt;&gt;"",IF(AV40=3,AT40,AR40),"")</f>
        <v>50000</v>
      </c>
      <c r="AY40" s="258"/>
      <c r="AZ40" s="258">
        <f>IF(AV40=3,G40,IF(AV40=2,AR40*2,IF(AV40=1,AR40,"")))</f>
        <v>50000</v>
      </c>
      <c r="BA40" s="253">
        <f>IF(AZ40&lt;&gt;"",AV40-AZ40,"")</f>
        <v>-49999</v>
      </c>
      <c r="BB40" s="253">
        <f>IF(BA40&lt;&gt;"",IF(K40&lt;&gt;"",K40+($BE$3-1)*12,$BE$3*12),"")</f>
        <v>132</v>
      </c>
      <c r="BC40" s="258"/>
      <c r="BD40" s="258"/>
      <c r="BE40" s="258"/>
      <c r="BF40" s="258"/>
      <c r="BG40" s="258"/>
      <c r="BH40" s="258"/>
      <c r="BI40" s="258"/>
      <c r="BJ40" s="258"/>
      <c r="BK40" s="258"/>
      <c r="BL40" s="258"/>
      <c r="BM40" s="258"/>
      <c r="BN40" s="258"/>
      <c r="BO40" s="258"/>
      <c r="BP40" s="258"/>
      <c r="BQ40" s="258"/>
      <c r="BR40" s="258"/>
      <c r="BS40" s="258"/>
      <c r="BT40" s="258"/>
      <c r="BU40" s="258"/>
      <c r="BV40" s="258"/>
      <c r="BW40" s="258">
        <f>AX40</f>
        <v>50000</v>
      </c>
      <c r="BX40" s="258"/>
      <c r="BY40" s="258"/>
      <c r="BZ40" s="258">
        <f>IF(BW40&lt;&gt;"",IF(J40&lt;&gt;"",INT(BW40*J40),BW40),"")</f>
        <v>50000</v>
      </c>
      <c r="CA40" s="258">
        <f>IF(K40&lt;&gt;"",INT(BZ40*K40/12),BZ40)</f>
        <v>50000</v>
      </c>
      <c r="CB40" s="360">
        <f>IF(ISERROR(G40-AZ40)=TRUE,"",G40-AZ40)</f>
        <v>100000</v>
      </c>
      <c r="CC40" s="259"/>
      <c r="CD40" s="233"/>
      <c r="CE40" s="233"/>
      <c r="CF40" s="233"/>
      <c r="CG40" s="233"/>
      <c r="CH40" s="233"/>
      <c r="CI40" s="233"/>
      <c r="CJ40" s="233"/>
      <c r="CK40" s="233"/>
      <c r="CL40" s="233"/>
      <c r="CM40" s="233"/>
      <c r="CN40" s="120"/>
      <c r="CO40" s="90">
        <v>34</v>
      </c>
      <c r="CP40" s="154" t="str">
        <f>IF(AV40&lt;&gt;"",B40,"")</f>
        <v>その３</v>
      </c>
      <c r="CQ40" s="155">
        <f>IF(D40&lt;&gt;"",D40,"")</f>
      </c>
      <c r="CR40" s="156">
        <f>IF(AV40&lt;&gt;"",E40,"")</f>
        <v>1</v>
      </c>
      <c r="CS40" s="156">
        <f>IF(AV40&lt;&gt;"",F40,"")</f>
        <v>4</v>
      </c>
      <c r="CT40" s="159">
        <f>IF(K40&lt;&gt;"",K40,"")</f>
      </c>
      <c r="CU40" s="158">
        <f>IF(AV40&lt;&gt;"",G40,"")</f>
        <v>150000</v>
      </c>
      <c r="CV40" s="158" t="s">
        <v>49</v>
      </c>
      <c r="CW40" s="159" t="str">
        <f>IF(CP40&lt;&gt;"","均等","")</f>
        <v>均等</v>
      </c>
      <c r="CX40" s="157" t="s">
        <v>49</v>
      </c>
      <c r="CY40" s="160" t="str">
        <f>IF(CW40&lt;&gt;"","1/3","")</f>
        <v>1/3</v>
      </c>
      <c r="CZ40" s="161"/>
      <c r="DA40" s="162" t="s">
        <v>49</v>
      </c>
      <c r="DB40" s="77">
        <f>IF(BW40&lt;&gt;"",ROUND(BW40,0),"")</f>
        <v>50000</v>
      </c>
      <c r="DC40" s="163" t="str">
        <f t="shared" si="31"/>
        <v>100%</v>
      </c>
      <c r="DD40" s="85">
        <f>IF(CA40&lt;&gt;"",ROUND(CA40,0),"")</f>
        <v>50000</v>
      </c>
      <c r="DE40" s="164">
        <f>IF(CB40&lt;&gt;"",(CB40),"")</f>
        <v>100000</v>
      </c>
      <c r="DF40" s="308">
        <f>IF(AX40="均等償却",AX40,"")</f>
      </c>
      <c r="DH40" s="388"/>
      <c r="DI40" s="383"/>
      <c r="DJ40" s="383"/>
      <c r="DO40" s="120">
        <v>40</v>
      </c>
      <c r="DP40" s="120" t="s">
        <v>137</v>
      </c>
      <c r="DR40" s="120">
        <v>1965</v>
      </c>
    </row>
    <row r="41" spans="1:122" ht="15" thickBot="1">
      <c r="A41" s="233"/>
      <c r="B41" s="233"/>
      <c r="C41" s="233"/>
      <c r="D41" s="233"/>
      <c r="E41" s="233"/>
      <c r="F41" s="233"/>
      <c r="G41" s="233"/>
      <c r="H41" s="233"/>
      <c r="I41" s="233"/>
      <c r="J41" s="233"/>
      <c r="K41" s="233"/>
      <c r="L41" s="233"/>
      <c r="M41" s="233"/>
      <c r="N41" s="233">
        <f>SUM(N7:N40)</f>
        <v>2527513.631333333</v>
      </c>
      <c r="O41" s="233">
        <f>SUM(O7:O40)</f>
        <v>8195084.141166667</v>
      </c>
      <c r="P41" s="233"/>
      <c r="Q41" s="233"/>
      <c r="R41" s="233"/>
      <c r="S41" s="233"/>
      <c r="T41" s="233"/>
      <c r="U41" s="233"/>
      <c r="V41" s="233"/>
      <c r="W41" s="233"/>
      <c r="X41" s="233"/>
      <c r="Y41" s="233"/>
      <c r="Z41" s="233"/>
      <c r="AA41" s="233"/>
      <c r="AB41" s="232"/>
      <c r="AC41" s="232"/>
      <c r="AD41" s="232"/>
      <c r="AE41" s="232"/>
      <c r="AF41" s="232"/>
      <c r="AG41" s="232"/>
      <c r="AH41" s="232"/>
      <c r="AI41" s="270"/>
      <c r="AJ41" s="270"/>
      <c r="AK41" s="270"/>
      <c r="AL41" s="270"/>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120"/>
      <c r="CO41" s="91">
        <v>36</v>
      </c>
      <c r="CP41" s="92" t="s">
        <v>85</v>
      </c>
      <c r="CQ41" s="93"/>
      <c r="CR41" s="94"/>
      <c r="CS41" s="94"/>
      <c r="CT41" s="97"/>
      <c r="CU41" s="181">
        <f>SUM(CU7:CU40)</f>
        <v>30972208</v>
      </c>
      <c r="CV41" s="181">
        <f>SUM(CV7:CV40)</f>
        <v>29241403</v>
      </c>
      <c r="CW41" s="97"/>
      <c r="CX41" s="95"/>
      <c r="CY41" s="98"/>
      <c r="CZ41" s="99" t="s">
        <v>49</v>
      </c>
      <c r="DA41" s="100"/>
      <c r="DB41" s="181">
        <f>SUM(DB7:DB40)</f>
        <v>2527515</v>
      </c>
      <c r="DC41" s="97"/>
      <c r="DD41" s="181">
        <f>SUM(DD7:DD40)</f>
        <v>2527515</v>
      </c>
      <c r="DE41" s="96">
        <f>SUM(DE7:DE40)</f>
        <v>8195086</v>
      </c>
      <c r="DF41" s="309"/>
      <c r="DH41" s="386">
        <f>SUM(DH7:DH40)</f>
        <v>0</v>
      </c>
      <c r="DI41" s="386">
        <f>SUM(DI7:DI40)</f>
        <v>0</v>
      </c>
      <c r="DJ41" s="386">
        <f>SUM(DJ7:DJ40)</f>
        <v>0</v>
      </c>
      <c r="DO41" s="120">
        <v>41</v>
      </c>
      <c r="DP41" s="120" t="s">
        <v>138</v>
      </c>
      <c r="DR41" s="120">
        <v>1966</v>
      </c>
    </row>
    <row r="42" spans="1:122" ht="14.25" thickBot="1">
      <c r="A42" s="233"/>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2"/>
      <c r="AC42" s="232"/>
      <c r="AD42" s="232"/>
      <c r="AE42" s="232"/>
      <c r="AF42" s="232"/>
      <c r="AG42" s="232"/>
      <c r="AH42" s="232"/>
      <c r="AI42" s="270"/>
      <c r="AJ42" s="270"/>
      <c r="AK42" s="270"/>
      <c r="AL42" s="270"/>
      <c r="AM42" s="233"/>
      <c r="AN42" s="233"/>
      <c r="AO42" s="233"/>
      <c r="AP42" s="233"/>
      <c r="AQ42" s="233"/>
      <c r="AR42" s="233" t="str">
        <f>"今年は令和"&amp;E4&amp;"年"</f>
        <v>今年は令和1年</v>
      </c>
      <c r="AS42" s="233" t="s">
        <v>654</v>
      </c>
      <c r="AT42" s="233" t="s">
        <v>659</v>
      </c>
      <c r="AU42" s="233" t="s">
        <v>660</v>
      </c>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120"/>
      <c r="CO42" s="120"/>
      <c r="CP42" s="120"/>
      <c r="CQ42" s="120"/>
      <c r="CR42" s="120"/>
      <c r="CS42" s="120"/>
      <c r="CT42" s="120"/>
      <c r="CU42" s="120"/>
      <c r="CV42" s="120"/>
      <c r="CW42" s="120"/>
      <c r="CX42" s="120"/>
      <c r="CY42" s="120"/>
      <c r="CZ42" s="120"/>
      <c r="DA42" s="120"/>
      <c r="DB42" s="120"/>
      <c r="DC42" s="120"/>
      <c r="DD42" s="120"/>
      <c r="DE42" s="120"/>
      <c r="DF42" s="120"/>
      <c r="DH42" s="385"/>
      <c r="DI42" s="385"/>
      <c r="DJ42" s="385"/>
      <c r="DO42" s="120">
        <v>42</v>
      </c>
      <c r="DP42" s="120" t="s">
        <v>139</v>
      </c>
      <c r="DR42" s="120">
        <v>1967</v>
      </c>
    </row>
    <row r="43" spans="1:122" ht="13.5">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2"/>
      <c r="AC43" s="232"/>
      <c r="AD43" s="232"/>
      <c r="AE43" s="232"/>
      <c r="AF43" s="232"/>
      <c r="AG43" s="232"/>
      <c r="AH43" s="232"/>
      <c r="AI43" s="270"/>
      <c r="AJ43" s="270"/>
      <c r="AK43" s="270"/>
      <c r="AL43" s="270"/>
      <c r="AM43" s="233"/>
      <c r="AN43" s="233"/>
      <c r="AO43" s="233"/>
      <c r="AP43" s="233"/>
      <c r="AQ43" s="233"/>
      <c r="AR43" s="405" t="str">
        <f>E38</f>
        <v>H29</v>
      </c>
      <c r="AS43" s="407" t="s">
        <v>30</v>
      </c>
      <c r="AT43" s="238">
        <v>-1</v>
      </c>
      <c r="AU43" s="409">
        <f>IF(AV43="あり",VLOOKUP(E38,$AS$49:$AV$51,4),IF($E$4-E38=0,$E$4-E38+1,$E$4-E38))</f>
        <v>3</v>
      </c>
      <c r="AV43" s="238" t="str">
        <f>IF(COUNTIF($AS$43:$AS$45,E38),"あり","なし")</f>
        <v>あり</v>
      </c>
      <c r="AW43" s="238">
        <f>IF(AV43="あり",AU43,$E$4-E38+1)</f>
        <v>3</v>
      </c>
      <c r="AX43" s="410">
        <f>IF(AND(AW43&lt;4,AW43&gt;0),AW43,"")</f>
        <v>3</v>
      </c>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233"/>
      <c r="CM43" s="233"/>
      <c r="CN43" s="120"/>
      <c r="CO43" s="120"/>
      <c r="CP43" s="120"/>
      <c r="CQ43" s="120"/>
      <c r="CR43" s="120"/>
      <c r="CS43" s="120"/>
      <c r="CT43" s="120"/>
      <c r="CU43" s="120"/>
      <c r="CV43" s="120"/>
      <c r="CW43" s="120"/>
      <c r="CX43" s="120"/>
      <c r="CY43" s="120"/>
      <c r="CZ43" s="120"/>
      <c r="DA43" s="120"/>
      <c r="DB43" s="120"/>
      <c r="DC43" s="120"/>
      <c r="DD43" s="120"/>
      <c r="DE43" s="120"/>
      <c r="DF43" s="120"/>
      <c r="DH43" s="384"/>
      <c r="DI43" s="384"/>
      <c r="DJ43" s="384"/>
      <c r="DO43" s="120">
        <v>43</v>
      </c>
      <c r="DP43" s="120" t="s">
        <v>140</v>
      </c>
      <c r="DR43" s="120">
        <v>1968</v>
      </c>
    </row>
    <row r="44" spans="1:122" ht="13.5">
      <c r="A44" s="233"/>
      <c r="B44" s="233" t="s">
        <v>612</v>
      </c>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2"/>
      <c r="AC44" s="232"/>
      <c r="AD44" s="232"/>
      <c r="AE44" s="232"/>
      <c r="AF44" s="232"/>
      <c r="AG44" s="232"/>
      <c r="AH44" s="232"/>
      <c r="AI44" s="270"/>
      <c r="AJ44" s="270"/>
      <c r="AK44" s="270"/>
      <c r="AL44" s="270"/>
      <c r="AM44" s="233"/>
      <c r="AN44" s="233"/>
      <c r="AO44" s="233"/>
      <c r="AP44" s="233"/>
      <c r="AQ44" s="233"/>
      <c r="AR44" s="405" t="str">
        <f>E39</f>
        <v>H30</v>
      </c>
      <c r="AS44" s="406" t="s">
        <v>428</v>
      </c>
      <c r="AT44" s="238">
        <v>0</v>
      </c>
      <c r="AU44" s="409">
        <f>IF(AV44="あり",VLOOKUP(E39,$AS$49:$AV$51,4),IF($E$4-E39=0,$E$4-E39+1,$E$4-E39))</f>
        <v>2</v>
      </c>
      <c r="AV44" s="238" t="str">
        <f>IF(COUNTIF($AS$43:$AS$45,E39),"あり","なし")</f>
        <v>あり</v>
      </c>
      <c r="AW44" s="238">
        <f>IF(AV44="あり",AU44,$E$4-E39+1)</f>
        <v>2</v>
      </c>
      <c r="AX44" s="410">
        <f>IF(AND(AW44&lt;4,AW44&gt;0),AW44,"")</f>
        <v>2</v>
      </c>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120"/>
      <c r="CO44" s="120"/>
      <c r="CP44" s="120"/>
      <c r="CQ44" s="120"/>
      <c r="CR44" s="120"/>
      <c r="CS44" s="120"/>
      <c r="CT44" s="120"/>
      <c r="CU44" s="120"/>
      <c r="CV44" s="120"/>
      <c r="CW44" s="120"/>
      <c r="CX44" s="120"/>
      <c r="CY44" s="120"/>
      <c r="CZ44" s="120"/>
      <c r="DA44" s="120"/>
      <c r="DB44" s="120"/>
      <c r="DC44" s="120"/>
      <c r="DD44" s="120"/>
      <c r="DE44" s="120"/>
      <c r="DF44" s="120"/>
      <c r="DO44" s="120">
        <v>44</v>
      </c>
      <c r="DP44" s="120" t="s">
        <v>141</v>
      </c>
      <c r="DR44" s="120">
        <v>1969</v>
      </c>
    </row>
    <row r="45" spans="1:122" ht="13.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2"/>
      <c r="AC45" s="232"/>
      <c r="AD45" s="232"/>
      <c r="AE45" s="232"/>
      <c r="AF45" s="232"/>
      <c r="AG45" s="232"/>
      <c r="AH45" s="232"/>
      <c r="AI45" s="270"/>
      <c r="AJ45" s="270"/>
      <c r="AK45" s="270"/>
      <c r="AL45" s="270"/>
      <c r="AM45" s="233"/>
      <c r="AN45" s="233"/>
      <c r="AO45" s="233"/>
      <c r="AP45" s="233"/>
      <c r="AQ45" s="233"/>
      <c r="AR45" s="405">
        <f>E40</f>
        <v>1</v>
      </c>
      <c r="AS45" s="406" t="s">
        <v>450</v>
      </c>
      <c r="AT45" s="238">
        <v>1</v>
      </c>
      <c r="AU45" s="409">
        <f>IF(AV45="あり",VLOOKUP(E40,$AS$49:$AV$51,4),IF($E$4-E40=0,$E$4-E40+1,$E$4-E40))</f>
        <v>1</v>
      </c>
      <c r="AV45" s="238" t="str">
        <f>IF(COUNTIF($AS$43:$AS$45,E40),"あり","なし")</f>
        <v>なし</v>
      </c>
      <c r="AW45" s="238">
        <f>IF(AV45="あり",AU45,$E$4-E40+1)</f>
        <v>1</v>
      </c>
      <c r="AX45" s="410">
        <f>IF(AND(AW45&lt;4,AW45&gt;0),AW45,"")</f>
        <v>1</v>
      </c>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120"/>
      <c r="CO45" s="120"/>
      <c r="CP45" s="120"/>
      <c r="CQ45" s="120"/>
      <c r="CR45" s="120"/>
      <c r="CS45" s="120"/>
      <c r="CT45" s="120"/>
      <c r="CU45" s="120"/>
      <c r="CV45" s="120"/>
      <c r="CW45" s="120"/>
      <c r="CX45" s="120"/>
      <c r="CY45" s="120"/>
      <c r="CZ45" s="120"/>
      <c r="DA45" s="120"/>
      <c r="DB45" s="120"/>
      <c r="DC45" s="120"/>
      <c r="DD45" s="120"/>
      <c r="DE45" s="120"/>
      <c r="DF45" s="120"/>
      <c r="DO45" s="120">
        <v>45</v>
      </c>
      <c r="DP45" s="120" t="s">
        <v>142</v>
      </c>
      <c r="DR45" s="120">
        <v>1970</v>
      </c>
    </row>
    <row r="46" spans="1:110" ht="14.25" thickBot="1">
      <c r="A46" s="233"/>
      <c r="B46" s="395" t="s">
        <v>620</v>
      </c>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2"/>
      <c r="AC46" s="232"/>
      <c r="AD46" s="232"/>
      <c r="AE46" s="232"/>
      <c r="AF46" s="232"/>
      <c r="AG46" s="232"/>
      <c r="AH46" s="232"/>
      <c r="AI46" s="270"/>
      <c r="AJ46" s="270"/>
      <c r="AK46" s="270"/>
      <c r="AL46" s="270"/>
      <c r="AM46" s="233"/>
      <c r="AN46" s="233"/>
      <c r="AO46" s="233"/>
      <c r="AP46" s="233"/>
      <c r="AQ46" s="233"/>
      <c r="AR46" s="405" t="s">
        <v>658</v>
      </c>
      <c r="AS46" s="408"/>
      <c r="AT46" s="238"/>
      <c r="AU46" s="409"/>
      <c r="AV46" s="238" t="s">
        <v>655</v>
      </c>
      <c r="AW46" s="238" t="s">
        <v>656</v>
      </c>
      <c r="AX46" s="238" t="s">
        <v>661</v>
      </c>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120"/>
      <c r="CO46" s="120"/>
      <c r="CP46" s="120"/>
      <c r="CQ46" s="120"/>
      <c r="CR46" s="120"/>
      <c r="CS46" s="120"/>
      <c r="CT46" s="120"/>
      <c r="CU46" s="120"/>
      <c r="CV46" s="120"/>
      <c r="CW46" s="120"/>
      <c r="CX46" s="120"/>
      <c r="CY46" s="120"/>
      <c r="CZ46" s="120"/>
      <c r="DA46" s="120"/>
      <c r="DB46" s="120"/>
      <c r="DC46" s="120"/>
      <c r="DD46" s="120"/>
      <c r="DE46" s="120"/>
      <c r="DF46" s="120"/>
    </row>
    <row r="47" spans="1:110" ht="13.5">
      <c r="A47" s="233"/>
      <c r="B47" s="395"/>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2"/>
      <c r="AC47" s="232"/>
      <c r="AD47" s="232"/>
      <c r="AE47" s="232"/>
      <c r="AF47" s="232"/>
      <c r="AG47" s="232"/>
      <c r="AH47" s="232"/>
      <c r="AI47" s="270"/>
      <c r="AJ47" s="270"/>
      <c r="AK47" s="270"/>
      <c r="AL47" s="270"/>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3"/>
      <c r="CM47" s="233"/>
      <c r="CN47" s="120"/>
      <c r="CO47" s="120"/>
      <c r="CP47" s="120"/>
      <c r="CQ47" s="120"/>
      <c r="CR47" s="120"/>
      <c r="CS47" s="120"/>
      <c r="CT47" s="120"/>
      <c r="CU47" s="120"/>
      <c r="CV47" s="120"/>
      <c r="CW47" s="120"/>
      <c r="CX47" s="120"/>
      <c r="CY47" s="120"/>
      <c r="CZ47" s="120"/>
      <c r="DA47" s="120"/>
      <c r="DB47" s="120"/>
      <c r="DC47" s="120"/>
      <c r="DD47" s="120"/>
      <c r="DE47" s="120"/>
      <c r="DF47" s="120"/>
    </row>
    <row r="48" spans="1:110" ht="13.5">
      <c r="A48" s="233"/>
      <c r="B48" s="396" t="s">
        <v>614</v>
      </c>
      <c r="C48" s="397"/>
      <c r="D48" s="397"/>
      <c r="E48" s="397"/>
      <c r="F48" s="397"/>
      <c r="G48" s="397"/>
      <c r="H48" s="397"/>
      <c r="I48" s="397"/>
      <c r="J48" s="397"/>
      <c r="K48" s="397"/>
      <c r="L48" s="397"/>
      <c r="M48" s="397"/>
      <c r="N48" s="398"/>
      <c r="O48" s="233"/>
      <c r="P48" s="233"/>
      <c r="Q48" s="233"/>
      <c r="R48" s="233"/>
      <c r="S48" s="233"/>
      <c r="T48" s="233"/>
      <c r="U48" s="233"/>
      <c r="V48" s="233"/>
      <c r="W48" s="233"/>
      <c r="X48" s="233"/>
      <c r="Y48" s="233"/>
      <c r="Z48" s="233"/>
      <c r="AA48" s="233"/>
      <c r="AB48" s="232"/>
      <c r="AC48" s="232"/>
      <c r="AD48" s="232"/>
      <c r="AE48" s="232"/>
      <c r="AF48" s="232"/>
      <c r="AG48" s="232"/>
      <c r="AH48" s="232"/>
      <c r="AI48" s="270"/>
      <c r="AJ48" s="270"/>
      <c r="AK48" s="270"/>
      <c r="AL48" s="270"/>
      <c r="AM48" s="233"/>
      <c r="AN48" s="233"/>
      <c r="AO48" s="233"/>
      <c r="AP48" s="233"/>
      <c r="AQ48" s="233"/>
      <c r="AR48" s="233"/>
      <c r="AS48" s="238" t="s">
        <v>662</v>
      </c>
      <c r="AT48" s="238" t="s">
        <v>663</v>
      </c>
      <c r="AU48" s="238" t="s">
        <v>657</v>
      </c>
      <c r="AV48" s="238" t="s">
        <v>201</v>
      </c>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120"/>
      <c r="CO48" s="120"/>
      <c r="CP48" s="120"/>
      <c r="CQ48" s="120"/>
      <c r="CR48" s="120"/>
      <c r="CS48" s="120"/>
      <c r="CT48" s="120"/>
      <c r="CU48" s="120"/>
      <c r="CV48" s="120"/>
      <c r="CW48" s="120"/>
      <c r="CX48" s="120"/>
      <c r="CY48" s="120"/>
      <c r="CZ48" s="120"/>
      <c r="DA48" s="120"/>
      <c r="DB48" s="120"/>
      <c r="DC48" s="120"/>
      <c r="DD48" s="120"/>
      <c r="DE48" s="120"/>
      <c r="DF48" s="120"/>
    </row>
    <row r="49" spans="1:110" ht="13.5">
      <c r="A49" s="233"/>
      <c r="B49" s="399" t="s">
        <v>618</v>
      </c>
      <c r="C49" s="233"/>
      <c r="D49" s="233"/>
      <c r="E49" s="233"/>
      <c r="F49" s="233"/>
      <c r="G49" s="233"/>
      <c r="H49" s="233"/>
      <c r="I49" s="233"/>
      <c r="J49" s="233"/>
      <c r="K49" s="233"/>
      <c r="L49" s="233"/>
      <c r="M49" s="233"/>
      <c r="N49" s="400"/>
      <c r="O49" s="233"/>
      <c r="P49" s="233"/>
      <c r="Q49" s="233"/>
      <c r="R49" s="233"/>
      <c r="S49" s="233"/>
      <c r="T49" s="233"/>
      <c r="U49" s="233"/>
      <c r="V49" s="233"/>
      <c r="W49" s="233"/>
      <c r="X49" s="233"/>
      <c r="Y49" s="233"/>
      <c r="Z49" s="233"/>
      <c r="AA49" s="233"/>
      <c r="AB49" s="232"/>
      <c r="AC49" s="232"/>
      <c r="AD49" s="232"/>
      <c r="AE49" s="232"/>
      <c r="AF49" s="232"/>
      <c r="AG49" s="232"/>
      <c r="AH49" s="232"/>
      <c r="AI49" s="270"/>
      <c r="AJ49" s="270"/>
      <c r="AK49" s="270"/>
      <c r="AL49" s="270"/>
      <c r="AM49" s="233"/>
      <c r="AN49" s="233"/>
      <c r="AO49" s="233"/>
      <c r="AP49" s="233"/>
      <c r="AQ49" s="233"/>
      <c r="AR49" s="233"/>
      <c r="AS49" s="238" t="s">
        <v>30</v>
      </c>
      <c r="AT49" s="238">
        <v>-1</v>
      </c>
      <c r="AU49" s="238">
        <f>$E$4</f>
        <v>1</v>
      </c>
      <c r="AV49" s="238">
        <f>AU49-AT49+1</f>
        <v>3</v>
      </c>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120"/>
      <c r="CO49" s="120"/>
      <c r="CP49" s="120"/>
      <c r="CQ49" s="120"/>
      <c r="CR49" s="120"/>
      <c r="CS49" s="120"/>
      <c r="CT49" s="120"/>
      <c r="CU49" s="120"/>
      <c r="CV49" s="120"/>
      <c r="CW49" s="120"/>
      <c r="CX49" s="120"/>
      <c r="CY49" s="120"/>
      <c r="CZ49" s="120"/>
      <c r="DA49" s="120"/>
      <c r="DB49" s="120"/>
      <c r="DC49" s="120"/>
      <c r="DD49" s="120"/>
      <c r="DE49" s="120"/>
      <c r="DF49" s="120"/>
    </row>
    <row r="50" spans="1:110" ht="13.5">
      <c r="A50" s="233"/>
      <c r="B50" s="399" t="s">
        <v>617</v>
      </c>
      <c r="C50" s="233"/>
      <c r="D50" s="233"/>
      <c r="E50" s="233"/>
      <c r="F50" s="233"/>
      <c r="G50" s="233"/>
      <c r="H50" s="233"/>
      <c r="I50" s="233"/>
      <c r="J50" s="233"/>
      <c r="K50" s="233"/>
      <c r="L50" s="233"/>
      <c r="M50" s="233"/>
      <c r="N50" s="400"/>
      <c r="O50" s="233"/>
      <c r="P50" s="233"/>
      <c r="Q50" s="233"/>
      <c r="R50" s="233"/>
      <c r="S50" s="233"/>
      <c r="T50" s="233"/>
      <c r="U50" s="233"/>
      <c r="V50" s="233"/>
      <c r="W50" s="233"/>
      <c r="X50" s="233"/>
      <c r="Y50" s="233"/>
      <c r="Z50" s="233"/>
      <c r="AA50" s="233"/>
      <c r="AB50" s="232"/>
      <c r="AC50" s="232"/>
      <c r="AD50" s="232"/>
      <c r="AE50" s="232"/>
      <c r="AF50" s="232"/>
      <c r="AG50" s="232"/>
      <c r="AH50" s="232"/>
      <c r="AI50" s="270"/>
      <c r="AJ50" s="270"/>
      <c r="AK50" s="270"/>
      <c r="AL50" s="270"/>
      <c r="AM50" s="233"/>
      <c r="AN50" s="233"/>
      <c r="AO50" s="233"/>
      <c r="AP50" s="233"/>
      <c r="AQ50" s="233"/>
      <c r="AR50" s="233"/>
      <c r="AS50" s="238" t="s">
        <v>428</v>
      </c>
      <c r="AT50" s="238">
        <v>0</v>
      </c>
      <c r="AU50" s="238">
        <f>$E$4</f>
        <v>1</v>
      </c>
      <c r="AV50" s="238">
        <f>AU50-AT50+1</f>
        <v>2</v>
      </c>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120"/>
      <c r="CO50" s="120"/>
      <c r="CP50" s="120"/>
      <c r="CQ50" s="120"/>
      <c r="CR50" s="120"/>
      <c r="CS50" s="120"/>
      <c r="CT50" s="120"/>
      <c r="CU50" s="120"/>
      <c r="CV50" s="120"/>
      <c r="CW50" s="120"/>
      <c r="CX50" s="120"/>
      <c r="CY50" s="120"/>
      <c r="CZ50" s="120"/>
      <c r="DA50" s="120"/>
      <c r="DB50" s="120"/>
      <c r="DC50" s="120"/>
      <c r="DD50" s="120"/>
      <c r="DE50" s="120"/>
      <c r="DF50" s="120"/>
    </row>
    <row r="51" spans="1:110" ht="13.5">
      <c r="A51" s="233"/>
      <c r="B51" s="399" t="s">
        <v>616</v>
      </c>
      <c r="C51" s="233"/>
      <c r="D51" s="233"/>
      <c r="E51" s="233"/>
      <c r="F51" s="233"/>
      <c r="G51" s="233"/>
      <c r="H51" s="233"/>
      <c r="I51" s="233"/>
      <c r="J51" s="233"/>
      <c r="K51" s="233"/>
      <c r="L51" s="233"/>
      <c r="M51" s="233"/>
      <c r="N51" s="400"/>
      <c r="O51" s="233"/>
      <c r="P51" s="233"/>
      <c r="Q51" s="233"/>
      <c r="R51" s="233"/>
      <c r="S51" s="233"/>
      <c r="T51" s="233"/>
      <c r="U51" s="233"/>
      <c r="V51" s="233"/>
      <c r="W51" s="233"/>
      <c r="X51" s="233"/>
      <c r="Y51" s="233"/>
      <c r="Z51" s="233"/>
      <c r="AA51" s="233"/>
      <c r="AB51" s="232"/>
      <c r="AC51" s="232"/>
      <c r="AD51" s="232"/>
      <c r="AE51" s="232"/>
      <c r="AF51" s="232"/>
      <c r="AG51" s="232"/>
      <c r="AH51" s="232"/>
      <c r="AI51" s="270"/>
      <c r="AJ51" s="270"/>
      <c r="AK51" s="270"/>
      <c r="AL51" s="270"/>
      <c r="AM51" s="233"/>
      <c r="AN51" s="233"/>
      <c r="AO51" s="233"/>
      <c r="AP51" s="233"/>
      <c r="AQ51" s="233"/>
      <c r="AR51" s="233"/>
      <c r="AS51" s="238" t="s">
        <v>450</v>
      </c>
      <c r="AT51" s="238">
        <v>1</v>
      </c>
      <c r="AU51" s="238">
        <f>$E$4</f>
        <v>1</v>
      </c>
      <c r="AV51" s="238">
        <f>AU51-AT51+1</f>
        <v>1</v>
      </c>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3"/>
      <c r="CM51" s="233"/>
      <c r="CN51" s="120"/>
      <c r="CO51" s="120"/>
      <c r="CP51" s="120"/>
      <c r="CQ51" s="120"/>
      <c r="CR51" s="120"/>
      <c r="CS51" s="120"/>
      <c r="CT51" s="120"/>
      <c r="CU51" s="120"/>
      <c r="CV51" s="120"/>
      <c r="CW51" s="120"/>
      <c r="CX51" s="120"/>
      <c r="CY51" s="120"/>
      <c r="CZ51" s="120"/>
      <c r="DA51" s="120"/>
      <c r="DB51" s="120"/>
      <c r="DC51" s="120"/>
      <c r="DD51" s="120"/>
      <c r="DE51" s="120"/>
      <c r="DF51" s="120"/>
    </row>
    <row r="52" spans="1:110" ht="13.5">
      <c r="A52" s="233"/>
      <c r="B52" s="399" t="s">
        <v>619</v>
      </c>
      <c r="C52" s="233"/>
      <c r="D52" s="233"/>
      <c r="E52" s="233"/>
      <c r="F52" s="233"/>
      <c r="G52" s="233"/>
      <c r="H52" s="233"/>
      <c r="I52" s="233"/>
      <c r="J52" s="233"/>
      <c r="K52" s="233"/>
      <c r="L52" s="233"/>
      <c r="M52" s="233"/>
      <c r="N52" s="400"/>
      <c r="O52" s="233"/>
      <c r="P52" s="233"/>
      <c r="Q52" s="233"/>
      <c r="R52" s="233"/>
      <c r="S52" s="233"/>
      <c r="T52" s="233"/>
      <c r="U52" s="233"/>
      <c r="V52" s="233"/>
      <c r="W52" s="233"/>
      <c r="X52" s="233"/>
      <c r="Y52" s="233"/>
      <c r="Z52" s="233"/>
      <c r="AA52" s="233"/>
      <c r="AB52" s="232"/>
      <c r="AC52" s="232"/>
      <c r="AD52" s="232"/>
      <c r="AE52" s="232"/>
      <c r="AF52" s="232"/>
      <c r="AG52" s="232"/>
      <c r="AH52" s="232"/>
      <c r="AI52" s="270"/>
      <c r="AJ52" s="270"/>
      <c r="AK52" s="270"/>
      <c r="AL52" s="270"/>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120"/>
      <c r="CO52" s="120"/>
      <c r="CP52" s="120"/>
      <c r="CQ52" s="120"/>
      <c r="CR52" s="120"/>
      <c r="CS52" s="120"/>
      <c r="CT52" s="120"/>
      <c r="CU52" s="120"/>
      <c r="CV52" s="120"/>
      <c r="CW52" s="120"/>
      <c r="CX52" s="120"/>
      <c r="CY52" s="120"/>
      <c r="CZ52" s="120"/>
      <c r="DA52" s="120"/>
      <c r="DB52" s="120"/>
      <c r="DC52" s="120"/>
      <c r="DD52" s="120"/>
      <c r="DE52" s="120"/>
      <c r="DF52" s="120"/>
    </row>
    <row r="53" spans="1:110" ht="13.5">
      <c r="A53" s="233"/>
      <c r="B53" s="401" t="s">
        <v>621</v>
      </c>
      <c r="C53" s="402"/>
      <c r="D53" s="402"/>
      <c r="E53" s="402"/>
      <c r="F53" s="402"/>
      <c r="G53" s="402"/>
      <c r="H53" s="402"/>
      <c r="I53" s="402"/>
      <c r="J53" s="402"/>
      <c r="K53" s="402"/>
      <c r="L53" s="402"/>
      <c r="M53" s="402"/>
      <c r="N53" s="403"/>
      <c r="O53" s="233"/>
      <c r="P53" s="233"/>
      <c r="Q53" s="233"/>
      <c r="R53" s="233"/>
      <c r="S53" s="233"/>
      <c r="T53" s="233"/>
      <c r="U53" s="233"/>
      <c r="V53" s="233"/>
      <c r="W53" s="233"/>
      <c r="X53" s="233"/>
      <c r="Y53" s="233"/>
      <c r="Z53" s="233"/>
      <c r="AA53" s="233"/>
      <c r="AB53" s="232"/>
      <c r="AC53" s="232"/>
      <c r="AD53" s="232"/>
      <c r="AE53" s="232"/>
      <c r="AF53" s="232"/>
      <c r="AG53" s="232"/>
      <c r="AH53" s="232"/>
      <c r="AI53" s="270"/>
      <c r="AJ53" s="270"/>
      <c r="AK53" s="270"/>
      <c r="AL53" s="270"/>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120"/>
      <c r="CO53" s="120"/>
      <c r="CP53" s="120"/>
      <c r="CQ53" s="120"/>
      <c r="CR53" s="120"/>
      <c r="CS53" s="120"/>
      <c r="CT53" s="120"/>
      <c r="CU53" s="120"/>
      <c r="CV53" s="120"/>
      <c r="CW53" s="120"/>
      <c r="CX53" s="120"/>
      <c r="CY53" s="120"/>
      <c r="CZ53" s="120"/>
      <c r="DA53" s="120"/>
      <c r="DB53" s="120"/>
      <c r="DC53" s="120"/>
      <c r="DD53" s="120"/>
      <c r="DE53" s="120"/>
      <c r="DF53" s="120"/>
    </row>
    <row r="54" spans="1:110" ht="13.5">
      <c r="A54" s="233"/>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2"/>
      <c r="AC54" s="232"/>
      <c r="AD54" s="232"/>
      <c r="AE54" s="232"/>
      <c r="AF54" s="232"/>
      <c r="AG54" s="232"/>
      <c r="AH54" s="232"/>
      <c r="AI54" s="270"/>
      <c r="AJ54" s="270"/>
      <c r="AK54" s="270"/>
      <c r="AL54" s="270"/>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120"/>
      <c r="CO54" s="120"/>
      <c r="CP54" s="120"/>
      <c r="CQ54" s="120"/>
      <c r="CR54" s="120"/>
      <c r="CS54" s="120"/>
      <c r="CT54" s="120"/>
      <c r="CU54" s="120"/>
      <c r="CV54" s="120"/>
      <c r="CW54" s="120"/>
      <c r="CX54" s="120"/>
      <c r="CY54" s="120"/>
      <c r="CZ54" s="120"/>
      <c r="DA54" s="120"/>
      <c r="DB54" s="120"/>
      <c r="DC54" s="120"/>
      <c r="DD54" s="120"/>
      <c r="DE54" s="120"/>
      <c r="DF54" s="120"/>
    </row>
    <row r="55" spans="1:110" ht="13.5">
      <c r="A55" s="233"/>
      <c r="B55" s="233" t="s">
        <v>613</v>
      </c>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2"/>
      <c r="AC55" s="232"/>
      <c r="AD55" s="232"/>
      <c r="AE55" s="232"/>
      <c r="AF55" s="232"/>
      <c r="AG55" s="232"/>
      <c r="AH55" s="232"/>
      <c r="AI55" s="270"/>
      <c r="AJ55" s="270"/>
      <c r="AK55" s="270"/>
      <c r="AL55" s="270"/>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3"/>
      <c r="CM55" s="233"/>
      <c r="CN55" s="120"/>
      <c r="CO55" s="120"/>
      <c r="CP55" s="120"/>
      <c r="CQ55" s="120"/>
      <c r="CR55" s="120"/>
      <c r="CS55" s="120"/>
      <c r="CT55" s="120"/>
      <c r="CU55" s="120"/>
      <c r="CV55" s="120"/>
      <c r="CW55" s="120"/>
      <c r="CX55" s="120"/>
      <c r="CY55" s="120"/>
      <c r="CZ55" s="120"/>
      <c r="DA55" s="120"/>
      <c r="DB55" s="120"/>
      <c r="DC55" s="120"/>
      <c r="DD55" s="120"/>
      <c r="DE55" s="120"/>
      <c r="DF55" s="120"/>
    </row>
    <row r="56" spans="1:110" ht="13.5">
      <c r="A56" s="233"/>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2"/>
      <c r="AC56" s="232"/>
      <c r="AD56" s="232"/>
      <c r="AE56" s="232"/>
      <c r="AF56" s="232"/>
      <c r="AG56" s="232"/>
      <c r="AH56" s="232"/>
      <c r="AI56" s="270"/>
      <c r="AJ56" s="270"/>
      <c r="AK56" s="270"/>
      <c r="AL56" s="270"/>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120"/>
      <c r="CO56" s="120"/>
      <c r="CP56" s="120"/>
      <c r="CQ56" s="120"/>
      <c r="CR56" s="120"/>
      <c r="CS56" s="120"/>
      <c r="CT56" s="120"/>
      <c r="CU56" s="120"/>
      <c r="CV56" s="120"/>
      <c r="CW56" s="120"/>
      <c r="CX56" s="120"/>
      <c r="CY56" s="120"/>
      <c r="CZ56" s="120"/>
      <c r="DA56" s="120"/>
      <c r="DB56" s="120"/>
      <c r="DC56" s="120"/>
      <c r="DD56" s="120"/>
      <c r="DE56" s="120"/>
      <c r="DF56" s="120"/>
    </row>
    <row r="57" spans="1:122" ht="13.5">
      <c r="A57" s="233"/>
      <c r="B57" s="233" t="s">
        <v>290</v>
      </c>
      <c r="C57" s="233"/>
      <c r="D57" s="233"/>
      <c r="E57" s="233"/>
      <c r="F57" s="233" t="s">
        <v>291</v>
      </c>
      <c r="G57" s="233"/>
      <c r="H57" s="233" t="s">
        <v>292</v>
      </c>
      <c r="I57" s="233"/>
      <c r="J57" s="233"/>
      <c r="K57" s="233"/>
      <c r="L57" s="233"/>
      <c r="M57" s="233"/>
      <c r="N57" s="233"/>
      <c r="O57" s="233"/>
      <c r="P57" s="233"/>
      <c r="Q57" s="233"/>
      <c r="R57" s="233"/>
      <c r="S57" s="233"/>
      <c r="T57" s="233"/>
      <c r="U57" s="233"/>
      <c r="V57" s="233"/>
      <c r="W57" s="233"/>
      <c r="X57" s="233"/>
      <c r="Y57" s="233"/>
      <c r="Z57" s="233"/>
      <c r="AA57" s="233"/>
      <c r="AB57" s="232"/>
      <c r="AC57" s="232"/>
      <c r="AD57" s="232"/>
      <c r="AE57" s="232"/>
      <c r="AF57" s="232"/>
      <c r="AG57" s="232"/>
      <c r="AH57" s="232"/>
      <c r="AI57" s="270"/>
      <c r="AJ57" s="270"/>
      <c r="AK57" s="270"/>
      <c r="AL57" s="270"/>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233"/>
      <c r="CD57" s="233"/>
      <c r="CE57" s="233"/>
      <c r="CF57" s="233"/>
      <c r="CG57" s="233"/>
      <c r="CH57" s="233"/>
      <c r="CI57" s="233"/>
      <c r="CJ57" s="233"/>
      <c r="CK57" s="233"/>
      <c r="CL57" s="233"/>
      <c r="CM57" s="233"/>
      <c r="CN57" s="120"/>
      <c r="CO57" s="120"/>
      <c r="CP57" s="120"/>
      <c r="CQ57" s="120"/>
      <c r="CR57" s="120"/>
      <c r="CS57" s="120"/>
      <c r="CT57" s="120"/>
      <c r="CU57" s="120"/>
      <c r="CV57" s="120"/>
      <c r="CW57" s="120"/>
      <c r="CX57" s="120"/>
      <c r="CY57" s="120"/>
      <c r="CZ57" s="120"/>
      <c r="DA57" s="120"/>
      <c r="DB57" s="120"/>
      <c r="DC57" s="120"/>
      <c r="DD57" s="120"/>
      <c r="DE57" s="120"/>
      <c r="DF57" s="120"/>
      <c r="DO57" s="120">
        <v>46</v>
      </c>
      <c r="DP57" s="120" t="s">
        <v>143</v>
      </c>
      <c r="DR57" s="120">
        <v>1971</v>
      </c>
    </row>
    <row r="58" spans="1:122" ht="13.5">
      <c r="A58" s="233"/>
      <c r="B58" s="233" t="s">
        <v>293</v>
      </c>
      <c r="C58" s="233" t="s">
        <v>294</v>
      </c>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2"/>
      <c r="AC58" s="232"/>
      <c r="AD58" s="232"/>
      <c r="AE58" s="232"/>
      <c r="AF58" s="232"/>
      <c r="AG58" s="232"/>
      <c r="AH58" s="232"/>
      <c r="AI58" s="270"/>
      <c r="AJ58" s="270"/>
      <c r="AK58" s="270"/>
      <c r="AL58" s="270"/>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K58" s="233"/>
      <c r="CL58" s="233"/>
      <c r="CM58" s="233"/>
      <c r="CN58" s="120"/>
      <c r="CO58" s="120"/>
      <c r="CP58" s="120"/>
      <c r="CQ58" s="120"/>
      <c r="CR58" s="120"/>
      <c r="CS58" s="120"/>
      <c r="CT58" s="120"/>
      <c r="CU58" s="120"/>
      <c r="CV58" s="120"/>
      <c r="CW58" s="120"/>
      <c r="CX58" s="120"/>
      <c r="CY58" s="120"/>
      <c r="CZ58" s="120"/>
      <c r="DA58" s="120"/>
      <c r="DB58" s="120"/>
      <c r="DC58" s="120"/>
      <c r="DD58" s="120"/>
      <c r="DE58" s="120"/>
      <c r="DF58" s="120"/>
      <c r="DO58" s="120">
        <v>47</v>
      </c>
      <c r="DP58" s="120" t="s">
        <v>144</v>
      </c>
      <c r="DR58" s="120">
        <v>1972</v>
      </c>
    </row>
    <row r="59" spans="1:122" ht="13.5">
      <c r="A59" s="233"/>
      <c r="B59" s="233"/>
      <c r="C59" s="233" t="s">
        <v>348</v>
      </c>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2"/>
      <c r="AC59" s="232"/>
      <c r="AD59" s="232"/>
      <c r="AE59" s="232"/>
      <c r="AF59" s="232"/>
      <c r="AG59" s="232"/>
      <c r="AH59" s="232"/>
      <c r="AI59" s="270"/>
      <c r="AJ59" s="270"/>
      <c r="AK59" s="270"/>
      <c r="AL59" s="270"/>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K59" s="233"/>
      <c r="CL59" s="233"/>
      <c r="CM59" s="233"/>
      <c r="CN59" s="120"/>
      <c r="CO59" s="120"/>
      <c r="CP59" s="120"/>
      <c r="CQ59" s="120"/>
      <c r="CR59" s="120"/>
      <c r="CS59" s="120"/>
      <c r="CT59" s="120"/>
      <c r="CU59" s="120"/>
      <c r="CV59" s="120"/>
      <c r="CW59" s="120"/>
      <c r="CX59" s="120"/>
      <c r="CY59" s="120"/>
      <c r="CZ59" s="120"/>
      <c r="DA59" s="120"/>
      <c r="DB59" s="120"/>
      <c r="DC59" s="120"/>
      <c r="DD59" s="120"/>
      <c r="DE59" s="120"/>
      <c r="DF59" s="120"/>
      <c r="DO59" s="120">
        <v>48</v>
      </c>
      <c r="DP59" s="120" t="s">
        <v>145</v>
      </c>
      <c r="DR59" s="120">
        <v>1973</v>
      </c>
    </row>
    <row r="60" spans="1:122" ht="13.5">
      <c r="A60" s="233"/>
      <c r="B60" s="233"/>
      <c r="C60" s="233" t="s">
        <v>295</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2"/>
      <c r="AC60" s="232"/>
      <c r="AD60" s="232"/>
      <c r="AE60" s="232"/>
      <c r="AF60" s="232"/>
      <c r="AG60" s="232"/>
      <c r="AH60" s="232"/>
      <c r="AI60" s="270"/>
      <c r="AJ60" s="270"/>
      <c r="AK60" s="270"/>
      <c r="AL60" s="270"/>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c r="CC60" s="233"/>
      <c r="CD60" s="233"/>
      <c r="CE60" s="233"/>
      <c r="CF60" s="233"/>
      <c r="CG60" s="233"/>
      <c r="CH60" s="233"/>
      <c r="CI60" s="233"/>
      <c r="CJ60" s="233"/>
      <c r="CK60" s="233"/>
      <c r="CL60" s="233"/>
      <c r="CM60" s="233"/>
      <c r="CN60" s="120"/>
      <c r="CO60" s="120"/>
      <c r="CP60" s="120"/>
      <c r="CQ60" s="120"/>
      <c r="CR60" s="120"/>
      <c r="CS60" s="120"/>
      <c r="CT60" s="120"/>
      <c r="CU60" s="120"/>
      <c r="CV60" s="120"/>
      <c r="CW60" s="120"/>
      <c r="CX60" s="120"/>
      <c r="CY60" s="120"/>
      <c r="CZ60" s="120"/>
      <c r="DA60" s="120"/>
      <c r="DB60" s="120"/>
      <c r="DC60" s="120"/>
      <c r="DD60" s="120"/>
      <c r="DE60" s="120"/>
      <c r="DF60" s="120"/>
      <c r="DO60" s="120">
        <v>49</v>
      </c>
      <c r="DP60" s="120" t="s">
        <v>146</v>
      </c>
      <c r="DR60" s="120">
        <v>1974</v>
      </c>
    </row>
    <row r="61" spans="1:122" ht="13.5">
      <c r="A61" s="233"/>
      <c r="B61" s="233"/>
      <c r="C61" s="233" t="s">
        <v>296</v>
      </c>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2"/>
      <c r="AC61" s="232"/>
      <c r="AD61" s="232"/>
      <c r="AE61" s="232"/>
      <c r="AF61" s="232"/>
      <c r="AG61" s="232"/>
      <c r="AH61" s="232"/>
      <c r="AI61" s="270"/>
      <c r="AJ61" s="270"/>
      <c r="AK61" s="270"/>
      <c r="AL61" s="270"/>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3"/>
      <c r="CE61" s="233"/>
      <c r="CF61" s="233"/>
      <c r="CG61" s="233"/>
      <c r="CH61" s="233"/>
      <c r="CI61" s="233"/>
      <c r="CJ61" s="233"/>
      <c r="CK61" s="233"/>
      <c r="CL61" s="233"/>
      <c r="CM61" s="233"/>
      <c r="CN61" s="120"/>
      <c r="CO61" s="120"/>
      <c r="CP61" s="120"/>
      <c r="CQ61" s="120"/>
      <c r="CR61" s="120"/>
      <c r="CS61" s="120"/>
      <c r="CT61" s="120"/>
      <c r="CU61" s="120"/>
      <c r="CV61" s="120"/>
      <c r="CW61" s="120"/>
      <c r="CX61" s="120"/>
      <c r="CY61" s="120"/>
      <c r="CZ61" s="120"/>
      <c r="DA61" s="120"/>
      <c r="DB61" s="120"/>
      <c r="DC61" s="120"/>
      <c r="DD61" s="120"/>
      <c r="DE61" s="120"/>
      <c r="DF61" s="120"/>
      <c r="DO61" s="120">
        <v>50</v>
      </c>
      <c r="DP61" s="120" t="s">
        <v>147</v>
      </c>
      <c r="DR61" s="120">
        <v>1975</v>
      </c>
    </row>
    <row r="62" spans="1:122" ht="13.5">
      <c r="A62" s="233"/>
      <c r="B62" s="233" t="s">
        <v>297</v>
      </c>
      <c r="C62" s="233" t="s">
        <v>308</v>
      </c>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2"/>
      <c r="AC62" s="232"/>
      <c r="AD62" s="232"/>
      <c r="AE62" s="232"/>
      <c r="AF62" s="232"/>
      <c r="AG62" s="232"/>
      <c r="AH62" s="232"/>
      <c r="AI62" s="270"/>
      <c r="AJ62" s="270"/>
      <c r="AK62" s="270"/>
      <c r="AL62" s="270"/>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3"/>
      <c r="BX62" s="233"/>
      <c r="BY62" s="233"/>
      <c r="BZ62" s="233"/>
      <c r="CA62" s="233"/>
      <c r="CB62" s="233"/>
      <c r="CC62" s="233"/>
      <c r="CD62" s="233"/>
      <c r="CE62" s="233"/>
      <c r="CF62" s="233"/>
      <c r="CG62" s="233"/>
      <c r="CH62" s="233"/>
      <c r="CI62" s="233"/>
      <c r="CJ62" s="233"/>
      <c r="CK62" s="233"/>
      <c r="CL62" s="233"/>
      <c r="CM62" s="233"/>
      <c r="CN62" s="120"/>
      <c r="CO62" s="120"/>
      <c r="CP62" s="120"/>
      <c r="CQ62" s="120"/>
      <c r="CR62" s="120"/>
      <c r="CS62" s="120"/>
      <c r="CT62" s="120"/>
      <c r="CU62" s="120"/>
      <c r="CV62" s="120"/>
      <c r="CW62" s="120"/>
      <c r="CX62" s="120"/>
      <c r="CY62" s="120"/>
      <c r="CZ62" s="120"/>
      <c r="DA62" s="120"/>
      <c r="DB62" s="120"/>
      <c r="DC62" s="120"/>
      <c r="DD62" s="120"/>
      <c r="DE62" s="120"/>
      <c r="DF62" s="120"/>
      <c r="DO62" s="120">
        <v>51</v>
      </c>
      <c r="DP62" s="120" t="s">
        <v>148</v>
      </c>
      <c r="DR62" s="120">
        <v>1976</v>
      </c>
    </row>
    <row r="63" spans="1:122" ht="13.5">
      <c r="A63" s="233"/>
      <c r="B63" s="233"/>
      <c r="C63" s="233" t="s">
        <v>298</v>
      </c>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2"/>
      <c r="AC63" s="232"/>
      <c r="AD63" s="232"/>
      <c r="AE63" s="232"/>
      <c r="AF63" s="232"/>
      <c r="AG63" s="232"/>
      <c r="AH63" s="232"/>
      <c r="AI63" s="270"/>
      <c r="AJ63" s="270"/>
      <c r="AK63" s="270"/>
      <c r="AL63" s="270"/>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3"/>
      <c r="CN63" s="120"/>
      <c r="CO63" s="120"/>
      <c r="CP63" s="120"/>
      <c r="CQ63" s="120"/>
      <c r="CR63" s="120"/>
      <c r="CS63" s="120"/>
      <c r="CT63" s="120"/>
      <c r="CU63" s="120"/>
      <c r="CV63" s="120"/>
      <c r="CW63" s="120"/>
      <c r="CX63" s="120"/>
      <c r="CY63" s="120"/>
      <c r="CZ63" s="120"/>
      <c r="DA63" s="120"/>
      <c r="DB63" s="120"/>
      <c r="DC63" s="120"/>
      <c r="DD63" s="120"/>
      <c r="DE63" s="120"/>
      <c r="DF63" s="120"/>
      <c r="DO63" s="120">
        <v>52</v>
      </c>
      <c r="DP63" s="120" t="s">
        <v>149</v>
      </c>
      <c r="DR63" s="120">
        <v>1977</v>
      </c>
    </row>
    <row r="64" spans="1:122" ht="13.5">
      <c r="A64" s="233"/>
      <c r="B64" s="233"/>
      <c r="C64" s="233" t="s">
        <v>503</v>
      </c>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70"/>
      <c r="AJ64" s="270"/>
      <c r="AK64" s="270"/>
      <c r="AL64" s="270"/>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c r="CK64" s="233"/>
      <c r="CL64" s="233"/>
      <c r="CM64" s="233"/>
      <c r="CN64" s="120"/>
      <c r="CO64" s="120"/>
      <c r="CP64" s="120"/>
      <c r="CQ64" s="120"/>
      <c r="CR64" s="120"/>
      <c r="CS64" s="120"/>
      <c r="CT64" s="120"/>
      <c r="CU64" s="120"/>
      <c r="CV64" s="120"/>
      <c r="CW64" s="120"/>
      <c r="CX64" s="120"/>
      <c r="CY64" s="120"/>
      <c r="CZ64" s="120"/>
      <c r="DA64" s="120"/>
      <c r="DB64" s="120"/>
      <c r="DC64" s="120"/>
      <c r="DD64" s="120"/>
      <c r="DE64" s="120"/>
      <c r="DF64" s="120"/>
      <c r="DO64" s="120">
        <v>53</v>
      </c>
      <c r="DP64" s="120" t="s">
        <v>150</v>
      </c>
      <c r="DR64" s="120">
        <v>1978</v>
      </c>
    </row>
    <row r="65" spans="1:122" ht="13.5">
      <c r="A65" s="233"/>
      <c r="B65" s="233"/>
      <c r="C65" s="233" t="s">
        <v>299</v>
      </c>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70"/>
      <c r="AJ65" s="270"/>
      <c r="AK65" s="270"/>
      <c r="AL65" s="270"/>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c r="CC65" s="233"/>
      <c r="CD65" s="233"/>
      <c r="CE65" s="233"/>
      <c r="CF65" s="233"/>
      <c r="CG65" s="233"/>
      <c r="CH65" s="233"/>
      <c r="CI65" s="233"/>
      <c r="CJ65" s="233"/>
      <c r="CK65" s="233"/>
      <c r="CL65" s="233"/>
      <c r="CM65" s="233"/>
      <c r="CN65" s="120"/>
      <c r="CO65" s="120"/>
      <c r="CP65" s="120"/>
      <c r="CQ65" s="120"/>
      <c r="CR65" s="120"/>
      <c r="CS65" s="120"/>
      <c r="CT65" s="120"/>
      <c r="CU65" s="120"/>
      <c r="CV65" s="120"/>
      <c r="CW65" s="120"/>
      <c r="CX65" s="120"/>
      <c r="CY65" s="120"/>
      <c r="CZ65" s="120"/>
      <c r="DA65" s="120"/>
      <c r="DB65" s="120"/>
      <c r="DC65" s="120"/>
      <c r="DD65" s="120"/>
      <c r="DE65" s="120"/>
      <c r="DF65" s="120"/>
      <c r="DO65" s="120">
        <v>54</v>
      </c>
      <c r="DP65" s="120" t="s">
        <v>151</v>
      </c>
      <c r="DR65" s="120">
        <v>1979</v>
      </c>
    </row>
    <row r="66" spans="1:122" ht="13.5">
      <c r="A66" s="233"/>
      <c r="B66" s="233" t="s">
        <v>300</v>
      </c>
      <c r="C66" s="233" t="s">
        <v>301</v>
      </c>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70"/>
      <c r="AJ66" s="270"/>
      <c r="AK66" s="270"/>
      <c r="AL66" s="270"/>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120"/>
      <c r="CO66" s="120"/>
      <c r="CP66" s="120"/>
      <c r="CQ66" s="120"/>
      <c r="CR66" s="120"/>
      <c r="CS66" s="120"/>
      <c r="CT66" s="120"/>
      <c r="CU66" s="120"/>
      <c r="CV66" s="120"/>
      <c r="CW66" s="120"/>
      <c r="CX66" s="120"/>
      <c r="CY66" s="120"/>
      <c r="CZ66" s="120"/>
      <c r="DA66" s="120"/>
      <c r="DB66" s="120"/>
      <c r="DC66" s="120"/>
      <c r="DD66" s="120"/>
      <c r="DE66" s="120"/>
      <c r="DF66" s="120"/>
      <c r="DO66" s="120">
        <v>55</v>
      </c>
      <c r="DP66" s="120" t="s">
        <v>152</v>
      </c>
      <c r="DR66" s="120">
        <v>1980</v>
      </c>
    </row>
    <row r="67" spans="1:122" ht="13.5">
      <c r="A67" s="233"/>
      <c r="B67" s="233"/>
      <c r="C67" s="233" t="s">
        <v>302</v>
      </c>
      <c r="D67" s="233"/>
      <c r="E67" s="233"/>
      <c r="F67" s="233"/>
      <c r="G67" s="233"/>
      <c r="H67" s="233"/>
      <c r="I67" s="233"/>
      <c r="J67" s="233"/>
      <c r="K67" s="233"/>
      <c r="L67" s="233"/>
      <c r="M67" s="233"/>
      <c r="N67" s="233"/>
      <c r="O67" s="247" t="s">
        <v>331</v>
      </c>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33"/>
      <c r="CN67" s="120"/>
      <c r="CO67" s="120"/>
      <c r="CP67" s="120"/>
      <c r="CQ67" s="120"/>
      <c r="CR67" s="120"/>
      <c r="CS67" s="120"/>
      <c r="CT67" s="120"/>
      <c r="CU67" s="120"/>
      <c r="CV67" s="120"/>
      <c r="CW67" s="120"/>
      <c r="CX67" s="120"/>
      <c r="CY67" s="120"/>
      <c r="CZ67" s="120"/>
      <c r="DA67" s="120"/>
      <c r="DB67" s="120"/>
      <c r="DC67" s="120"/>
      <c r="DD67" s="120"/>
      <c r="DE67" s="120"/>
      <c r="DF67" s="120"/>
      <c r="DO67" s="120">
        <v>56</v>
      </c>
      <c r="DP67" s="120" t="s">
        <v>153</v>
      </c>
      <c r="DR67" s="120">
        <v>1981</v>
      </c>
    </row>
    <row r="68" spans="1:122" ht="13.5">
      <c r="A68" s="233"/>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c r="CA68" s="233"/>
      <c r="CB68" s="233"/>
      <c r="CC68" s="233"/>
      <c r="CD68" s="233"/>
      <c r="CE68" s="233"/>
      <c r="CF68" s="233"/>
      <c r="CG68" s="233"/>
      <c r="CH68" s="233"/>
      <c r="CI68" s="233"/>
      <c r="CJ68" s="233"/>
      <c r="CK68" s="233"/>
      <c r="CL68" s="233"/>
      <c r="CM68" s="233"/>
      <c r="CN68" s="120"/>
      <c r="CO68" s="120"/>
      <c r="CP68" s="120"/>
      <c r="CQ68" s="120"/>
      <c r="CR68" s="120"/>
      <c r="CS68" s="120"/>
      <c r="CT68" s="120"/>
      <c r="CU68" s="120"/>
      <c r="CV68" s="120"/>
      <c r="CW68" s="120"/>
      <c r="CX68" s="120"/>
      <c r="CY68" s="120"/>
      <c r="CZ68" s="120"/>
      <c r="DA68" s="120"/>
      <c r="DB68" s="120"/>
      <c r="DC68" s="120"/>
      <c r="DD68" s="120"/>
      <c r="DE68" s="120"/>
      <c r="DF68" s="120"/>
      <c r="DO68" s="120">
        <v>57</v>
      </c>
      <c r="DP68" s="120" t="s">
        <v>154</v>
      </c>
      <c r="DR68" s="120">
        <v>1982</v>
      </c>
    </row>
    <row r="69" spans="1:122" ht="13.5">
      <c r="A69" s="233"/>
      <c r="B69" s="233" t="s">
        <v>303</v>
      </c>
      <c r="C69" s="233" t="s">
        <v>510</v>
      </c>
      <c r="D69" s="233"/>
      <c r="E69" s="233"/>
      <c r="F69" s="233"/>
      <c r="G69" s="233"/>
      <c r="H69" s="233"/>
      <c r="I69" s="233"/>
      <c r="J69" s="233"/>
      <c r="K69" s="233" t="s">
        <v>304</v>
      </c>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233"/>
      <c r="CK69" s="233"/>
      <c r="CL69" s="233"/>
      <c r="CM69" s="233"/>
      <c r="CN69" s="120"/>
      <c r="CO69" s="120"/>
      <c r="CP69" s="120"/>
      <c r="CQ69" s="120"/>
      <c r="CR69" s="120"/>
      <c r="CS69" s="120"/>
      <c r="CT69" s="120"/>
      <c r="CU69" s="120"/>
      <c r="CV69" s="120"/>
      <c r="CW69" s="120"/>
      <c r="CX69" s="120"/>
      <c r="CY69" s="120"/>
      <c r="CZ69" s="120"/>
      <c r="DA69" s="120"/>
      <c r="DB69" s="120"/>
      <c r="DC69" s="120"/>
      <c r="DD69" s="120"/>
      <c r="DE69" s="120"/>
      <c r="DF69" s="120"/>
      <c r="DO69" s="120">
        <v>58</v>
      </c>
      <c r="DP69" s="120" t="s">
        <v>155</v>
      </c>
      <c r="DR69" s="120">
        <v>1983</v>
      </c>
    </row>
    <row r="70" spans="1:122" ht="13.5">
      <c r="A70" s="233"/>
      <c r="B70" s="233"/>
      <c r="C70" s="233" t="s">
        <v>511</v>
      </c>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233"/>
      <c r="CK70" s="233"/>
      <c r="CL70" s="233"/>
      <c r="CM70" s="233"/>
      <c r="CN70" s="120"/>
      <c r="CO70" s="120"/>
      <c r="CP70" s="120"/>
      <c r="CQ70" s="120"/>
      <c r="CR70" s="120"/>
      <c r="CS70" s="120"/>
      <c r="CT70" s="120"/>
      <c r="CU70" s="120"/>
      <c r="CV70" s="120"/>
      <c r="CW70" s="120"/>
      <c r="CX70" s="120"/>
      <c r="CY70" s="120"/>
      <c r="CZ70" s="120"/>
      <c r="DA70" s="120"/>
      <c r="DB70" s="120"/>
      <c r="DC70" s="120"/>
      <c r="DD70" s="120"/>
      <c r="DE70" s="120"/>
      <c r="DF70" s="120"/>
      <c r="DO70" s="120">
        <v>59</v>
      </c>
      <c r="DP70" s="120" t="s">
        <v>156</v>
      </c>
      <c r="DR70" s="120">
        <v>1984</v>
      </c>
    </row>
    <row r="71" spans="1:122" ht="13.5">
      <c r="A71" s="233"/>
      <c r="B71" s="233"/>
      <c r="C71" s="233" t="s">
        <v>305</v>
      </c>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120"/>
      <c r="CO71" s="120"/>
      <c r="CP71" s="120"/>
      <c r="CQ71" s="120"/>
      <c r="CR71" s="120"/>
      <c r="CS71" s="120"/>
      <c r="CT71" s="120"/>
      <c r="CU71" s="120"/>
      <c r="CV71" s="120"/>
      <c r="CW71" s="120"/>
      <c r="CX71" s="120"/>
      <c r="CY71" s="120"/>
      <c r="CZ71" s="120"/>
      <c r="DA71" s="120"/>
      <c r="DB71" s="120"/>
      <c r="DC71" s="120"/>
      <c r="DD71" s="120"/>
      <c r="DE71" s="120"/>
      <c r="DF71" s="120"/>
      <c r="DO71" s="120">
        <v>60</v>
      </c>
      <c r="DP71" s="120" t="s">
        <v>157</v>
      </c>
      <c r="DR71" s="120">
        <v>1985</v>
      </c>
    </row>
    <row r="72" spans="1:122" ht="13.5">
      <c r="A72" s="233"/>
      <c r="B72" s="233"/>
      <c r="C72" s="233" t="s">
        <v>512</v>
      </c>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120"/>
      <c r="CO72" s="120"/>
      <c r="CP72" s="120"/>
      <c r="CQ72" s="120"/>
      <c r="CR72" s="120"/>
      <c r="CS72" s="120"/>
      <c r="CT72" s="120"/>
      <c r="CU72" s="120"/>
      <c r="CV72" s="120"/>
      <c r="CW72" s="120"/>
      <c r="CX72" s="120"/>
      <c r="CY72" s="120"/>
      <c r="CZ72" s="120"/>
      <c r="DA72" s="120"/>
      <c r="DB72" s="120"/>
      <c r="DC72" s="120"/>
      <c r="DD72" s="120"/>
      <c r="DE72" s="120"/>
      <c r="DF72" s="120"/>
      <c r="DO72" s="120">
        <v>61</v>
      </c>
      <c r="DP72" s="120" t="s">
        <v>158</v>
      </c>
      <c r="DR72" s="120">
        <v>1986</v>
      </c>
    </row>
    <row r="73" spans="1:122" ht="13.5">
      <c r="A73" s="233"/>
      <c r="B73" s="233"/>
      <c r="C73" s="233" t="s">
        <v>513</v>
      </c>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c r="CC73" s="233"/>
      <c r="CD73" s="233"/>
      <c r="CE73" s="233"/>
      <c r="CF73" s="233"/>
      <c r="CG73" s="233"/>
      <c r="CH73" s="233"/>
      <c r="CI73" s="233"/>
      <c r="CJ73" s="233"/>
      <c r="CK73" s="233"/>
      <c r="CL73" s="233"/>
      <c r="CM73" s="233"/>
      <c r="CN73" s="120"/>
      <c r="CO73" s="120"/>
      <c r="CP73" s="120"/>
      <c r="CQ73" s="120"/>
      <c r="CR73" s="120"/>
      <c r="CS73" s="120"/>
      <c r="CT73" s="120"/>
      <c r="CU73" s="120"/>
      <c r="CV73" s="120"/>
      <c r="CW73" s="120"/>
      <c r="CX73" s="120"/>
      <c r="CY73" s="120"/>
      <c r="CZ73" s="120"/>
      <c r="DA73" s="120"/>
      <c r="DB73" s="120"/>
      <c r="DC73" s="120"/>
      <c r="DD73" s="120"/>
      <c r="DE73" s="120"/>
      <c r="DF73" s="120"/>
      <c r="DO73" s="120">
        <v>62</v>
      </c>
      <c r="DP73" s="120" t="s">
        <v>159</v>
      </c>
      <c r="DR73" s="120">
        <v>1987</v>
      </c>
    </row>
    <row r="74" spans="1:122" ht="13.5">
      <c r="A74" s="233"/>
      <c r="B74" s="233"/>
      <c r="C74" s="233" t="s">
        <v>306</v>
      </c>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c r="CC74" s="233"/>
      <c r="CD74" s="233"/>
      <c r="CE74" s="233"/>
      <c r="CF74" s="233"/>
      <c r="CG74" s="233"/>
      <c r="CH74" s="233"/>
      <c r="CI74" s="233"/>
      <c r="CJ74" s="233"/>
      <c r="CK74" s="233"/>
      <c r="CL74" s="233"/>
      <c r="CM74" s="233"/>
      <c r="CN74" s="120"/>
      <c r="CO74" s="120"/>
      <c r="CP74" s="120"/>
      <c r="CQ74" s="120"/>
      <c r="CR74" s="120"/>
      <c r="CS74" s="120"/>
      <c r="CT74" s="120"/>
      <c r="CU74" s="120"/>
      <c r="CV74" s="120"/>
      <c r="CW74" s="120"/>
      <c r="CX74" s="120"/>
      <c r="CY74" s="120"/>
      <c r="CZ74" s="120"/>
      <c r="DA74" s="120"/>
      <c r="DB74" s="120"/>
      <c r="DC74" s="120"/>
      <c r="DD74" s="120"/>
      <c r="DE74" s="120"/>
      <c r="DF74" s="120"/>
      <c r="DO74" s="120">
        <v>63</v>
      </c>
      <c r="DP74" s="120" t="s">
        <v>160</v>
      </c>
      <c r="DR74" s="120">
        <v>1988</v>
      </c>
    </row>
    <row r="75" spans="1:122" ht="13.5">
      <c r="A75" s="233"/>
      <c r="B75" s="233"/>
      <c r="C75" s="233" t="s">
        <v>307</v>
      </c>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233"/>
      <c r="BZ75" s="233"/>
      <c r="CA75" s="233"/>
      <c r="CB75" s="233"/>
      <c r="CC75" s="233"/>
      <c r="CD75" s="233"/>
      <c r="CE75" s="233"/>
      <c r="CF75" s="233"/>
      <c r="CG75" s="233"/>
      <c r="CH75" s="233"/>
      <c r="CI75" s="233"/>
      <c r="CJ75" s="233"/>
      <c r="CK75" s="233"/>
      <c r="CL75" s="233"/>
      <c r="CM75" s="233"/>
      <c r="CN75" s="120"/>
      <c r="CO75" s="120"/>
      <c r="CP75" s="120"/>
      <c r="CQ75" s="120"/>
      <c r="CR75" s="120"/>
      <c r="CS75" s="120"/>
      <c r="CT75" s="120"/>
      <c r="CU75" s="120"/>
      <c r="CV75" s="120"/>
      <c r="CW75" s="120"/>
      <c r="CX75" s="120"/>
      <c r="CY75" s="120"/>
      <c r="CZ75" s="120"/>
      <c r="DA75" s="120"/>
      <c r="DB75" s="120"/>
      <c r="DC75" s="120"/>
      <c r="DD75" s="120"/>
      <c r="DE75" s="120"/>
      <c r="DF75" s="120"/>
      <c r="DO75" s="120">
        <v>64</v>
      </c>
      <c r="DP75" s="120" t="s">
        <v>597</v>
      </c>
      <c r="DR75" s="120">
        <v>1989</v>
      </c>
    </row>
    <row r="76" spans="1:122" ht="13.5">
      <c r="A76" s="233"/>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120"/>
      <c r="CO76" s="120"/>
      <c r="CP76" s="120"/>
      <c r="CQ76" s="120"/>
      <c r="CR76" s="120"/>
      <c r="CS76" s="120"/>
      <c r="CT76" s="120"/>
      <c r="CU76" s="120"/>
      <c r="CV76" s="120"/>
      <c r="CW76" s="120"/>
      <c r="CX76" s="120"/>
      <c r="CY76" s="120"/>
      <c r="CZ76" s="120"/>
      <c r="DA76" s="120"/>
      <c r="DB76" s="120"/>
      <c r="DC76" s="120"/>
      <c r="DD76" s="120"/>
      <c r="DE76" s="120"/>
      <c r="DF76" s="120"/>
      <c r="DO76" s="120">
        <v>65</v>
      </c>
      <c r="DP76" s="120" t="s">
        <v>598</v>
      </c>
      <c r="DR76" s="120">
        <v>1990</v>
      </c>
    </row>
    <row r="77" spans="1:122" ht="13.5">
      <c r="A77" s="233"/>
      <c r="B77" s="233"/>
      <c r="C77" s="233"/>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c r="BT77" s="233"/>
      <c r="BU77" s="233"/>
      <c r="BV77" s="233"/>
      <c r="BW77" s="233"/>
      <c r="BX77" s="233"/>
      <c r="BY77" s="233"/>
      <c r="BZ77" s="233"/>
      <c r="CA77" s="233"/>
      <c r="CB77" s="233"/>
      <c r="CC77" s="233"/>
      <c r="CD77" s="233"/>
      <c r="CE77" s="233"/>
      <c r="CF77" s="233"/>
      <c r="CG77" s="233"/>
      <c r="CH77" s="233"/>
      <c r="CI77" s="233"/>
      <c r="CJ77" s="233"/>
      <c r="CK77" s="233"/>
      <c r="CL77" s="233"/>
      <c r="CM77" s="233"/>
      <c r="CN77" s="120"/>
      <c r="CO77" s="120"/>
      <c r="CP77" s="120"/>
      <c r="CQ77" s="120"/>
      <c r="CR77" s="120"/>
      <c r="CS77" s="120"/>
      <c r="CT77" s="120"/>
      <c r="CU77" s="120"/>
      <c r="CV77" s="120"/>
      <c r="CW77" s="120"/>
      <c r="CX77" s="120"/>
      <c r="CY77" s="120"/>
      <c r="CZ77" s="120"/>
      <c r="DA77" s="120"/>
      <c r="DB77" s="120"/>
      <c r="DC77" s="120"/>
      <c r="DD77" s="120"/>
      <c r="DE77" s="120"/>
      <c r="DF77" s="120"/>
      <c r="DO77" s="120">
        <v>66</v>
      </c>
      <c r="DP77" s="120" t="s">
        <v>599</v>
      </c>
      <c r="DR77" s="120">
        <v>1991</v>
      </c>
    </row>
    <row r="78" spans="1:122" ht="13.5">
      <c r="A78" s="233"/>
      <c r="B78" s="233"/>
      <c r="C78" s="233"/>
      <c r="D78" s="233" t="s">
        <v>519</v>
      </c>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c r="BZ78" s="233"/>
      <c r="CA78" s="233"/>
      <c r="CB78" s="233"/>
      <c r="CC78" s="233"/>
      <c r="CD78" s="233"/>
      <c r="CE78" s="233"/>
      <c r="CF78" s="233"/>
      <c r="CG78" s="233"/>
      <c r="CH78" s="233"/>
      <c r="CI78" s="233"/>
      <c r="CJ78" s="233"/>
      <c r="CK78" s="233"/>
      <c r="CL78" s="233"/>
      <c r="CM78" s="233"/>
      <c r="CN78" s="120"/>
      <c r="CO78" s="120"/>
      <c r="CP78" s="120"/>
      <c r="CQ78" s="120"/>
      <c r="CR78" s="120"/>
      <c r="CS78" s="120"/>
      <c r="CT78" s="120"/>
      <c r="CU78" s="120"/>
      <c r="CV78" s="120"/>
      <c r="CW78" s="120"/>
      <c r="CX78" s="120"/>
      <c r="CY78" s="120"/>
      <c r="CZ78" s="120"/>
      <c r="DA78" s="120"/>
      <c r="DB78" s="120"/>
      <c r="DC78" s="120"/>
      <c r="DD78" s="120"/>
      <c r="DE78" s="120"/>
      <c r="DF78" s="120"/>
      <c r="DO78" s="120">
        <v>67</v>
      </c>
      <c r="DP78" s="120" t="s">
        <v>600</v>
      </c>
      <c r="DR78" s="120">
        <v>1992</v>
      </c>
    </row>
    <row r="79" spans="1:122" ht="13.5">
      <c r="A79" s="233"/>
      <c r="B79" s="233"/>
      <c r="C79" s="233"/>
      <c r="D79" s="240" t="s">
        <v>316</v>
      </c>
      <c r="E79" s="438" t="s">
        <v>514</v>
      </c>
      <c r="F79" s="439"/>
      <c r="G79" s="238" t="s">
        <v>317</v>
      </c>
      <c r="H79" s="239" t="s">
        <v>318</v>
      </c>
      <c r="I79" s="243" t="s">
        <v>8</v>
      </c>
      <c r="J79" s="241" t="s">
        <v>10</v>
      </c>
      <c r="K79" s="233" t="s">
        <v>518</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233"/>
      <c r="BS79" s="233"/>
      <c r="BT79" s="233"/>
      <c r="BU79" s="233"/>
      <c r="BV79" s="233"/>
      <c r="BW79" s="233"/>
      <c r="BX79" s="233"/>
      <c r="BY79" s="233"/>
      <c r="BZ79" s="233"/>
      <c r="CA79" s="233"/>
      <c r="CB79" s="233"/>
      <c r="CC79" s="233"/>
      <c r="CD79" s="233"/>
      <c r="CE79" s="233"/>
      <c r="CF79" s="233"/>
      <c r="CG79" s="233"/>
      <c r="CH79" s="233"/>
      <c r="CI79" s="233"/>
      <c r="CJ79" s="233"/>
      <c r="CK79" s="233"/>
      <c r="CL79" s="233"/>
      <c r="CM79" s="233"/>
      <c r="CN79" s="120"/>
      <c r="CO79" s="120"/>
      <c r="CP79" s="120"/>
      <c r="CQ79" s="120"/>
      <c r="CR79" s="120"/>
      <c r="CS79" s="120"/>
      <c r="CT79" s="120"/>
      <c r="CU79" s="120"/>
      <c r="CV79" s="120"/>
      <c r="CW79" s="120"/>
      <c r="CX79" s="120"/>
      <c r="CY79" s="120"/>
      <c r="CZ79" s="120"/>
      <c r="DA79" s="120"/>
      <c r="DB79" s="120"/>
      <c r="DC79" s="120"/>
      <c r="DD79" s="120"/>
      <c r="DE79" s="120"/>
      <c r="DF79" s="120"/>
      <c r="DO79" s="120">
        <v>68</v>
      </c>
      <c r="DP79" s="120" t="s">
        <v>601</v>
      </c>
      <c r="DR79" s="120">
        <v>1993</v>
      </c>
    </row>
    <row r="80" spans="1:122" ht="13.5">
      <c r="A80" s="233"/>
      <c r="B80" s="233" t="s">
        <v>326</v>
      </c>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3"/>
      <c r="BX80" s="233"/>
      <c r="BY80" s="233"/>
      <c r="BZ80" s="233"/>
      <c r="CA80" s="233"/>
      <c r="CB80" s="233"/>
      <c r="CC80" s="233"/>
      <c r="CD80" s="233"/>
      <c r="CE80" s="233"/>
      <c r="CF80" s="233"/>
      <c r="CG80" s="233"/>
      <c r="CH80" s="233"/>
      <c r="CI80" s="233"/>
      <c r="CJ80" s="233"/>
      <c r="CK80" s="233"/>
      <c r="CL80" s="233"/>
      <c r="CM80" s="233"/>
      <c r="CN80" s="120"/>
      <c r="CO80" s="120"/>
      <c r="CP80" s="120"/>
      <c r="CQ80" s="120"/>
      <c r="CR80" s="120"/>
      <c r="CS80" s="120"/>
      <c r="CT80" s="120"/>
      <c r="CU80" s="120"/>
      <c r="CV80" s="120"/>
      <c r="CW80" s="120"/>
      <c r="CX80" s="120"/>
      <c r="CY80" s="120"/>
      <c r="CZ80" s="120"/>
      <c r="DA80" s="120"/>
      <c r="DB80" s="120"/>
      <c r="DC80" s="120"/>
      <c r="DD80" s="120"/>
      <c r="DE80" s="120"/>
      <c r="DF80" s="120"/>
      <c r="DO80" s="120">
        <v>69</v>
      </c>
      <c r="DP80" s="120" t="s">
        <v>602</v>
      </c>
      <c r="DR80" s="120">
        <v>1994</v>
      </c>
    </row>
    <row r="81" spans="1:122" ht="13.5">
      <c r="A81" s="233"/>
      <c r="B81" s="233"/>
      <c r="C81" s="233"/>
      <c r="D81" s="233"/>
      <c r="E81" s="233"/>
      <c r="F81" s="233"/>
      <c r="G81" s="233"/>
      <c r="H81" s="233"/>
      <c r="I81" s="233"/>
      <c r="J81" s="242" t="s">
        <v>325</v>
      </c>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3"/>
      <c r="BS81" s="233"/>
      <c r="BT81" s="233"/>
      <c r="BU81" s="233"/>
      <c r="BV81" s="233"/>
      <c r="BW81" s="233"/>
      <c r="BX81" s="233"/>
      <c r="BY81" s="233"/>
      <c r="BZ81" s="233"/>
      <c r="CA81" s="233"/>
      <c r="CB81" s="233"/>
      <c r="CC81" s="233"/>
      <c r="CD81" s="233"/>
      <c r="CE81" s="233"/>
      <c r="CF81" s="233"/>
      <c r="CG81" s="233"/>
      <c r="CH81" s="233"/>
      <c r="CI81" s="233"/>
      <c r="CJ81" s="233"/>
      <c r="CK81" s="233"/>
      <c r="CL81" s="233"/>
      <c r="CM81" s="233"/>
      <c r="CN81" s="120"/>
      <c r="CO81" s="120"/>
      <c r="CP81" s="120"/>
      <c r="CQ81" s="120"/>
      <c r="CR81" s="120"/>
      <c r="CS81" s="120"/>
      <c r="CT81" s="120"/>
      <c r="CU81" s="120"/>
      <c r="CV81" s="120"/>
      <c r="CW81" s="120"/>
      <c r="CX81" s="120"/>
      <c r="CY81" s="120"/>
      <c r="CZ81" s="120"/>
      <c r="DA81" s="120"/>
      <c r="DB81" s="120"/>
      <c r="DC81" s="120"/>
      <c r="DD81" s="120"/>
      <c r="DE81" s="120"/>
      <c r="DF81" s="120"/>
      <c r="DO81" s="120">
        <v>70</v>
      </c>
      <c r="DP81" s="120" t="s">
        <v>603</v>
      </c>
      <c r="DR81" s="120">
        <v>1995</v>
      </c>
    </row>
    <row r="82" spans="1:122" ht="13.5">
      <c r="A82" s="233"/>
      <c r="B82" s="233"/>
      <c r="C82" s="233"/>
      <c r="D82" s="233"/>
      <c r="E82" s="233"/>
      <c r="F82" s="233"/>
      <c r="G82" s="233"/>
      <c r="H82" s="233"/>
      <c r="I82" s="244" t="s">
        <v>324</v>
      </c>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120"/>
      <c r="CO82" s="120"/>
      <c r="CP82" s="120"/>
      <c r="CQ82" s="120"/>
      <c r="CR82" s="120"/>
      <c r="CS82" s="120"/>
      <c r="CT82" s="120"/>
      <c r="CU82" s="120"/>
      <c r="CV82" s="120"/>
      <c r="CW82" s="120"/>
      <c r="CX82" s="120"/>
      <c r="CY82" s="120"/>
      <c r="CZ82" s="120"/>
      <c r="DA82" s="120"/>
      <c r="DB82" s="120"/>
      <c r="DC82" s="120"/>
      <c r="DD82" s="120"/>
      <c r="DE82" s="120"/>
      <c r="DF82" s="120"/>
      <c r="DO82" s="120">
        <v>71</v>
      </c>
      <c r="DP82" s="120" t="s">
        <v>604</v>
      </c>
      <c r="DR82" s="120">
        <v>1996</v>
      </c>
    </row>
    <row r="83" spans="1:122" ht="13.5">
      <c r="A83" s="233"/>
      <c r="B83" s="233"/>
      <c r="C83" s="233"/>
      <c r="D83" s="233" t="s">
        <v>319</v>
      </c>
      <c r="E83" s="233"/>
      <c r="F83" s="233"/>
      <c r="G83" s="233"/>
      <c r="H83" s="245" t="s">
        <v>321</v>
      </c>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120"/>
      <c r="CO83" s="120"/>
      <c r="CP83" s="120"/>
      <c r="CQ83" s="120"/>
      <c r="CR83" s="120"/>
      <c r="CS83" s="120"/>
      <c r="CT83" s="120"/>
      <c r="CU83" s="120"/>
      <c r="CV83" s="120"/>
      <c r="CW83" s="120"/>
      <c r="CX83" s="120"/>
      <c r="CY83" s="120"/>
      <c r="CZ83" s="120"/>
      <c r="DA83" s="120"/>
      <c r="DB83" s="120"/>
      <c r="DC83" s="120"/>
      <c r="DD83" s="120"/>
      <c r="DE83" s="120"/>
      <c r="DF83" s="120"/>
      <c r="DO83" s="120">
        <v>72</v>
      </c>
      <c r="DP83" s="120" t="s">
        <v>476</v>
      </c>
      <c r="DR83" s="120">
        <v>1997</v>
      </c>
    </row>
    <row r="84" spans="1:122" ht="13.5">
      <c r="A84" s="233"/>
      <c r="B84" s="233"/>
      <c r="C84" s="233"/>
      <c r="D84" s="233" t="s">
        <v>320</v>
      </c>
      <c r="E84" s="233"/>
      <c r="F84" s="233" t="s">
        <v>515</v>
      </c>
      <c r="G84" s="233"/>
      <c r="H84" s="245" t="s">
        <v>322</v>
      </c>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233"/>
      <c r="BZ84" s="233"/>
      <c r="CA84" s="233"/>
      <c r="CB84" s="233"/>
      <c r="CC84" s="233"/>
      <c r="CD84" s="233"/>
      <c r="CE84" s="233"/>
      <c r="CF84" s="233"/>
      <c r="CG84" s="233"/>
      <c r="CH84" s="233"/>
      <c r="CI84" s="233"/>
      <c r="CJ84" s="233"/>
      <c r="CK84" s="233"/>
      <c r="CL84" s="233"/>
      <c r="CM84" s="233"/>
      <c r="CN84" s="120"/>
      <c r="CO84" s="120"/>
      <c r="CP84" s="120"/>
      <c r="CQ84" s="120"/>
      <c r="CR84" s="120"/>
      <c r="CS84" s="120"/>
      <c r="CT84" s="120"/>
      <c r="CU84" s="120"/>
      <c r="CV84" s="120"/>
      <c r="CW84" s="120"/>
      <c r="CX84" s="120"/>
      <c r="CY84" s="120"/>
      <c r="CZ84" s="120"/>
      <c r="DA84" s="120"/>
      <c r="DB84" s="120"/>
      <c r="DC84" s="120"/>
      <c r="DD84" s="120"/>
      <c r="DE84" s="120"/>
      <c r="DF84" s="120"/>
      <c r="DO84" s="120">
        <v>73</v>
      </c>
      <c r="DP84" s="120" t="s">
        <v>478</v>
      </c>
      <c r="DR84" s="120">
        <v>1998</v>
      </c>
    </row>
    <row r="85" spans="1:122" ht="13.5">
      <c r="A85" s="233"/>
      <c r="B85" s="233"/>
      <c r="C85" s="233"/>
      <c r="D85" s="233"/>
      <c r="E85" s="233"/>
      <c r="F85" s="233"/>
      <c r="G85" s="233"/>
      <c r="H85" s="245" t="s">
        <v>323</v>
      </c>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233"/>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120"/>
      <c r="CO85" s="120"/>
      <c r="CP85" s="120"/>
      <c r="CQ85" s="120"/>
      <c r="CR85" s="120"/>
      <c r="CS85" s="120"/>
      <c r="CT85" s="120"/>
      <c r="CU85" s="120"/>
      <c r="CV85" s="120"/>
      <c r="CW85" s="120"/>
      <c r="CX85" s="120"/>
      <c r="CY85" s="120"/>
      <c r="CZ85" s="120"/>
      <c r="DA85" s="120"/>
      <c r="DB85" s="120"/>
      <c r="DC85" s="120"/>
      <c r="DD85" s="120"/>
      <c r="DE85" s="120"/>
      <c r="DF85" s="120"/>
      <c r="DO85" s="120">
        <v>74</v>
      </c>
      <c r="DP85" s="120" t="s">
        <v>480</v>
      </c>
      <c r="DR85" s="120">
        <v>1999</v>
      </c>
    </row>
    <row r="86" spans="1:122" ht="13.5">
      <c r="A86" s="233"/>
      <c r="B86" s="233"/>
      <c r="C86" s="233"/>
      <c r="D86" s="233" t="s">
        <v>516</v>
      </c>
      <c r="E86" s="233"/>
      <c r="F86" s="233"/>
      <c r="G86" s="233"/>
      <c r="H86" s="245" t="s">
        <v>520</v>
      </c>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3"/>
      <c r="BZ86" s="233"/>
      <c r="CA86" s="233"/>
      <c r="CB86" s="233"/>
      <c r="CC86" s="233"/>
      <c r="CD86" s="233"/>
      <c r="CE86" s="233"/>
      <c r="CF86" s="233"/>
      <c r="CG86" s="233"/>
      <c r="CH86" s="233"/>
      <c r="CI86" s="233"/>
      <c r="CJ86" s="233"/>
      <c r="CK86" s="233"/>
      <c r="CL86" s="233"/>
      <c r="CM86" s="233"/>
      <c r="CN86" s="120"/>
      <c r="CO86" s="120"/>
      <c r="CP86" s="120"/>
      <c r="CQ86" s="120"/>
      <c r="CR86" s="120"/>
      <c r="CS86" s="120"/>
      <c r="CT86" s="120"/>
      <c r="CU86" s="120"/>
      <c r="CV86" s="120"/>
      <c r="CW86" s="120"/>
      <c r="CX86" s="120"/>
      <c r="CY86" s="120"/>
      <c r="CZ86" s="120"/>
      <c r="DA86" s="120"/>
      <c r="DB86" s="120"/>
      <c r="DC86" s="120"/>
      <c r="DD86" s="120"/>
      <c r="DE86" s="120"/>
      <c r="DF86" s="120"/>
      <c r="DO86" s="120">
        <v>75</v>
      </c>
      <c r="DP86" s="120" t="s">
        <v>481</v>
      </c>
      <c r="DR86" s="120">
        <v>2000</v>
      </c>
    </row>
    <row r="87" spans="1:122" ht="13.5">
      <c r="A87" s="233"/>
      <c r="B87" s="233"/>
      <c r="C87" s="233"/>
      <c r="D87" s="233" t="s">
        <v>517</v>
      </c>
      <c r="E87" s="233"/>
      <c r="F87" s="233"/>
      <c r="G87" s="233"/>
      <c r="H87" s="245" t="s">
        <v>355</v>
      </c>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c r="BR87" s="233"/>
      <c r="BS87" s="233"/>
      <c r="BT87" s="233"/>
      <c r="BU87" s="233"/>
      <c r="BV87" s="233"/>
      <c r="BW87" s="233"/>
      <c r="BX87" s="233"/>
      <c r="BY87" s="233"/>
      <c r="BZ87" s="233"/>
      <c r="CA87" s="233"/>
      <c r="CB87" s="233"/>
      <c r="CC87" s="233"/>
      <c r="CD87" s="233"/>
      <c r="CE87" s="233"/>
      <c r="CF87" s="233"/>
      <c r="CG87" s="233"/>
      <c r="CH87" s="233"/>
      <c r="CI87" s="233"/>
      <c r="CJ87" s="233"/>
      <c r="CK87" s="233"/>
      <c r="CL87" s="233"/>
      <c r="CM87" s="233"/>
      <c r="CN87" s="120"/>
      <c r="CO87" s="120"/>
      <c r="CP87" s="120"/>
      <c r="CQ87" s="120"/>
      <c r="CR87" s="120"/>
      <c r="CS87" s="120"/>
      <c r="CT87" s="120"/>
      <c r="CU87" s="120"/>
      <c r="CV87" s="120"/>
      <c r="CW87" s="120"/>
      <c r="CX87" s="120"/>
      <c r="CY87" s="120"/>
      <c r="CZ87" s="120"/>
      <c r="DA87" s="120"/>
      <c r="DB87" s="120"/>
      <c r="DC87" s="120"/>
      <c r="DD87" s="120"/>
      <c r="DE87" s="120"/>
      <c r="DF87" s="120"/>
      <c r="DO87" s="120">
        <v>76</v>
      </c>
      <c r="DP87" s="120" t="s">
        <v>482</v>
      </c>
      <c r="DR87" s="120">
        <v>2001</v>
      </c>
    </row>
    <row r="88" spans="1:122" ht="13.5">
      <c r="A88" s="233"/>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120"/>
      <c r="CO88" s="120"/>
      <c r="CP88" s="120"/>
      <c r="CQ88" s="120"/>
      <c r="CR88" s="120"/>
      <c r="CS88" s="120"/>
      <c r="CT88" s="120"/>
      <c r="CU88" s="120"/>
      <c r="CV88" s="120"/>
      <c r="CW88" s="120"/>
      <c r="CX88" s="120"/>
      <c r="CY88" s="120"/>
      <c r="CZ88" s="120"/>
      <c r="DA88" s="120"/>
      <c r="DB88" s="120"/>
      <c r="DC88" s="120"/>
      <c r="DD88" s="120"/>
      <c r="DE88" s="120"/>
      <c r="DF88" s="120"/>
      <c r="DO88" s="120">
        <v>77</v>
      </c>
      <c r="DP88" s="120" t="s">
        <v>483</v>
      </c>
      <c r="DR88" s="120">
        <v>2002</v>
      </c>
    </row>
    <row r="89" spans="1:122" ht="13.5">
      <c r="A89" s="233"/>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233"/>
      <c r="CF89" s="233"/>
      <c r="CG89" s="233"/>
      <c r="CH89" s="233"/>
      <c r="CI89" s="233"/>
      <c r="CJ89" s="233"/>
      <c r="CK89" s="233"/>
      <c r="CL89" s="233"/>
      <c r="CM89" s="233"/>
      <c r="CN89" s="120"/>
      <c r="CO89" s="120"/>
      <c r="CP89" s="120"/>
      <c r="CQ89" s="120"/>
      <c r="CR89" s="120"/>
      <c r="CS89" s="120"/>
      <c r="CT89" s="120"/>
      <c r="CU89" s="120"/>
      <c r="CV89" s="120"/>
      <c r="CW89" s="120"/>
      <c r="CX89" s="120"/>
      <c r="CY89" s="120"/>
      <c r="CZ89" s="120"/>
      <c r="DA89" s="120"/>
      <c r="DB89" s="120"/>
      <c r="DC89" s="120"/>
      <c r="DD89" s="120"/>
      <c r="DE89" s="120"/>
      <c r="DF89" s="120"/>
      <c r="DO89" s="120">
        <v>78</v>
      </c>
      <c r="DP89" s="120" t="s">
        <v>484</v>
      </c>
      <c r="DR89" s="120">
        <v>2003</v>
      </c>
    </row>
    <row r="90" spans="1:122" ht="13.5">
      <c r="A90" s="233"/>
      <c r="B90" s="233"/>
      <c r="C90" s="233"/>
      <c r="D90" s="233" t="s">
        <v>327</v>
      </c>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120"/>
      <c r="CO90" s="120"/>
      <c r="CP90" s="120"/>
      <c r="CQ90" s="120"/>
      <c r="CR90" s="120"/>
      <c r="CS90" s="120"/>
      <c r="CT90" s="120"/>
      <c r="CU90" s="120"/>
      <c r="CV90" s="120"/>
      <c r="CW90" s="120"/>
      <c r="CX90" s="120"/>
      <c r="CY90" s="120"/>
      <c r="CZ90" s="120"/>
      <c r="DA90" s="120"/>
      <c r="DB90" s="120"/>
      <c r="DC90" s="120"/>
      <c r="DD90" s="120"/>
      <c r="DE90" s="120"/>
      <c r="DF90" s="120"/>
      <c r="DO90" s="120">
        <v>79</v>
      </c>
      <c r="DP90" s="120" t="s">
        <v>485</v>
      </c>
      <c r="DR90" s="120">
        <v>2004</v>
      </c>
    </row>
    <row r="91" spans="1:122" ht="13.5">
      <c r="A91" s="233"/>
      <c r="B91" s="233"/>
      <c r="C91" s="233"/>
      <c r="D91" s="233" t="s">
        <v>329</v>
      </c>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c r="CF91" s="233"/>
      <c r="CG91" s="233"/>
      <c r="CH91" s="233"/>
      <c r="CI91" s="233"/>
      <c r="CJ91" s="233"/>
      <c r="CK91" s="233"/>
      <c r="CL91" s="233"/>
      <c r="CM91" s="233"/>
      <c r="CN91" s="120"/>
      <c r="CO91" s="120"/>
      <c r="CP91" s="120"/>
      <c r="CQ91" s="120"/>
      <c r="CR91" s="120"/>
      <c r="CS91" s="120"/>
      <c r="CT91" s="120"/>
      <c r="CU91" s="120"/>
      <c r="CV91" s="120"/>
      <c r="CW91" s="120"/>
      <c r="CX91" s="120"/>
      <c r="CY91" s="120"/>
      <c r="CZ91" s="120"/>
      <c r="DA91" s="120"/>
      <c r="DB91" s="120"/>
      <c r="DC91" s="120"/>
      <c r="DD91" s="120"/>
      <c r="DE91" s="120"/>
      <c r="DF91" s="120"/>
      <c r="DO91" s="120">
        <v>80</v>
      </c>
      <c r="DP91" s="120" t="s">
        <v>486</v>
      </c>
      <c r="DR91" s="120">
        <v>2005</v>
      </c>
    </row>
    <row r="92" spans="1:122" ht="13.5">
      <c r="A92" s="233"/>
      <c r="B92" s="233"/>
      <c r="C92" s="233"/>
      <c r="D92" s="233" t="s">
        <v>330</v>
      </c>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120"/>
      <c r="CO92" s="120"/>
      <c r="CP92" s="120"/>
      <c r="CQ92" s="120"/>
      <c r="CR92" s="120"/>
      <c r="CS92" s="120"/>
      <c r="CT92" s="120"/>
      <c r="CU92" s="120"/>
      <c r="CV92" s="120"/>
      <c r="CW92" s="120"/>
      <c r="CX92" s="120"/>
      <c r="CY92" s="120"/>
      <c r="CZ92" s="120"/>
      <c r="DA92" s="120"/>
      <c r="DB92" s="120"/>
      <c r="DC92" s="120"/>
      <c r="DD92" s="120"/>
      <c r="DE92" s="120"/>
      <c r="DF92" s="120"/>
      <c r="DO92" s="120">
        <v>81</v>
      </c>
      <c r="DP92" s="120" t="s">
        <v>399</v>
      </c>
      <c r="DR92" s="120">
        <v>2006</v>
      </c>
    </row>
    <row r="93" spans="1:122" ht="13.5">
      <c r="A93" s="233"/>
      <c r="B93" s="233"/>
      <c r="C93" s="233"/>
      <c r="D93" s="246" t="s">
        <v>332</v>
      </c>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120"/>
      <c r="CO93" s="120"/>
      <c r="CP93" s="120"/>
      <c r="CQ93" s="120"/>
      <c r="CR93" s="120"/>
      <c r="CS93" s="120"/>
      <c r="CT93" s="120"/>
      <c r="CU93" s="120"/>
      <c r="CV93" s="120"/>
      <c r="CW93" s="120"/>
      <c r="CX93" s="120"/>
      <c r="CY93" s="120"/>
      <c r="CZ93" s="120"/>
      <c r="DA93" s="120"/>
      <c r="DB93" s="120"/>
      <c r="DC93" s="120"/>
      <c r="DD93" s="120"/>
      <c r="DE93" s="120"/>
      <c r="DF93" s="120"/>
      <c r="DO93" s="120">
        <v>82</v>
      </c>
      <c r="DP93" s="120" t="s">
        <v>25</v>
      </c>
      <c r="DR93" s="120">
        <v>2007</v>
      </c>
    </row>
    <row r="94" spans="1:122" ht="13.5">
      <c r="A94" s="233"/>
      <c r="B94" s="233"/>
      <c r="C94" s="233"/>
      <c r="D94" s="246" t="s">
        <v>504</v>
      </c>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c r="CF94" s="233"/>
      <c r="CG94" s="233"/>
      <c r="CH94" s="233"/>
      <c r="CI94" s="233"/>
      <c r="CJ94" s="233"/>
      <c r="CK94" s="233"/>
      <c r="CL94" s="233"/>
      <c r="CM94" s="233"/>
      <c r="CN94" s="120"/>
      <c r="CO94" s="120"/>
      <c r="CP94" s="120"/>
      <c r="CQ94" s="120"/>
      <c r="CR94" s="120"/>
      <c r="CS94" s="120"/>
      <c r="CT94" s="120"/>
      <c r="CU94" s="120"/>
      <c r="CV94" s="120"/>
      <c r="CW94" s="120"/>
      <c r="CX94" s="120"/>
      <c r="CY94" s="120"/>
      <c r="CZ94" s="120"/>
      <c r="DA94" s="120"/>
      <c r="DB94" s="120"/>
      <c r="DC94" s="120"/>
      <c r="DD94" s="120"/>
      <c r="DE94" s="120"/>
      <c r="DF94" s="120"/>
      <c r="DO94" s="120">
        <v>83</v>
      </c>
      <c r="DP94" s="120" t="s">
        <v>7</v>
      </c>
      <c r="DR94" s="120">
        <v>2008</v>
      </c>
    </row>
    <row r="95" spans="1:122" ht="13.5">
      <c r="A95" s="233"/>
      <c r="B95" s="233"/>
      <c r="C95" s="233"/>
      <c r="D95" s="246" t="s">
        <v>505</v>
      </c>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c r="CF95" s="233"/>
      <c r="CG95" s="233"/>
      <c r="CH95" s="233"/>
      <c r="CI95" s="233"/>
      <c r="CJ95" s="233"/>
      <c r="CK95" s="233"/>
      <c r="CL95" s="233"/>
      <c r="CM95" s="233"/>
      <c r="CN95" s="120"/>
      <c r="CO95" s="120"/>
      <c r="CP95" s="120"/>
      <c r="CQ95" s="120"/>
      <c r="CR95" s="120"/>
      <c r="CS95" s="120"/>
      <c r="CT95" s="120"/>
      <c r="CU95" s="120"/>
      <c r="CV95" s="120"/>
      <c r="CW95" s="120"/>
      <c r="CX95" s="120"/>
      <c r="CY95" s="120"/>
      <c r="CZ95" s="120"/>
      <c r="DA95" s="120"/>
      <c r="DB95" s="120"/>
      <c r="DC95" s="120"/>
      <c r="DD95" s="120"/>
      <c r="DE95" s="120"/>
      <c r="DF95" s="120"/>
      <c r="DO95" s="120">
        <v>84</v>
      </c>
      <c r="DP95" s="120" t="s">
        <v>9</v>
      </c>
      <c r="DR95" s="120">
        <v>2009</v>
      </c>
    </row>
    <row r="96" spans="1:122" ht="13.5">
      <c r="A96" s="233"/>
      <c r="B96" s="233"/>
      <c r="C96" s="233"/>
      <c r="D96" s="337" t="s">
        <v>506</v>
      </c>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c r="CF96" s="233"/>
      <c r="CG96" s="233"/>
      <c r="CH96" s="233"/>
      <c r="CI96" s="233"/>
      <c r="CJ96" s="233"/>
      <c r="CK96" s="233"/>
      <c r="CL96" s="233"/>
      <c r="CM96" s="233"/>
      <c r="CN96" s="120"/>
      <c r="CO96" s="120"/>
      <c r="CP96" s="120"/>
      <c r="CQ96" s="120"/>
      <c r="CR96" s="120"/>
      <c r="CS96" s="120"/>
      <c r="CT96" s="120"/>
      <c r="CU96" s="120"/>
      <c r="CV96" s="120"/>
      <c r="CW96" s="120"/>
      <c r="CX96" s="120"/>
      <c r="CY96" s="120"/>
      <c r="CZ96" s="120"/>
      <c r="DA96" s="120"/>
      <c r="DB96" s="120"/>
      <c r="DC96" s="120"/>
      <c r="DD96" s="120"/>
      <c r="DE96" s="120"/>
      <c r="DF96" s="120"/>
      <c r="DO96" s="120">
        <v>85</v>
      </c>
      <c r="DP96" s="120" t="s">
        <v>11</v>
      </c>
      <c r="DR96" s="120">
        <v>2010</v>
      </c>
    </row>
    <row r="97" spans="1:122" ht="13.5">
      <c r="A97" s="233"/>
      <c r="B97" s="233" t="s">
        <v>333</v>
      </c>
      <c r="C97" s="233" t="s">
        <v>454</v>
      </c>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c r="CF97" s="233"/>
      <c r="CG97" s="233"/>
      <c r="CH97" s="233"/>
      <c r="CI97" s="233"/>
      <c r="CJ97" s="233"/>
      <c r="CK97" s="233"/>
      <c r="CL97" s="233"/>
      <c r="CM97" s="233"/>
      <c r="CN97" s="120"/>
      <c r="CO97" s="120"/>
      <c r="CP97" s="120"/>
      <c r="CQ97" s="120"/>
      <c r="CR97" s="120"/>
      <c r="CS97" s="120"/>
      <c r="CT97" s="120"/>
      <c r="CU97" s="120"/>
      <c r="CV97" s="120"/>
      <c r="CW97" s="120"/>
      <c r="CX97" s="120"/>
      <c r="CY97" s="120"/>
      <c r="CZ97" s="120"/>
      <c r="DA97" s="120"/>
      <c r="DB97" s="120"/>
      <c r="DC97" s="120"/>
      <c r="DD97" s="120"/>
      <c r="DE97" s="120"/>
      <c r="DF97" s="120"/>
      <c r="DO97" s="120">
        <v>86</v>
      </c>
      <c r="DP97" s="120" t="s">
        <v>13</v>
      </c>
      <c r="DR97" s="120">
        <v>2011</v>
      </c>
    </row>
    <row r="98" spans="1:122" ht="13.5">
      <c r="A98" s="233"/>
      <c r="B98" s="233"/>
      <c r="C98" s="233"/>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120"/>
      <c r="CO98" s="120"/>
      <c r="CP98" s="120"/>
      <c r="CQ98" s="120"/>
      <c r="CR98" s="120"/>
      <c r="CS98" s="120"/>
      <c r="CT98" s="120"/>
      <c r="CU98" s="120"/>
      <c r="CV98" s="120"/>
      <c r="CW98" s="120"/>
      <c r="CX98" s="120"/>
      <c r="CY98" s="120"/>
      <c r="CZ98" s="120"/>
      <c r="DA98" s="120"/>
      <c r="DB98" s="120"/>
      <c r="DC98" s="120"/>
      <c r="DD98" s="120"/>
      <c r="DE98" s="120"/>
      <c r="DF98" s="120"/>
      <c r="DO98" s="120">
        <v>87</v>
      </c>
      <c r="DP98" s="120" t="s">
        <v>15</v>
      </c>
      <c r="DR98" s="120">
        <v>2012</v>
      </c>
    </row>
    <row r="99" spans="1:122" ht="13.5">
      <c r="A99" s="233"/>
      <c r="B99" s="233"/>
      <c r="C99" s="233"/>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c r="CF99" s="233"/>
      <c r="CG99" s="233"/>
      <c r="CH99" s="233"/>
      <c r="CI99" s="233"/>
      <c r="CJ99" s="233"/>
      <c r="CK99" s="233"/>
      <c r="CL99" s="233"/>
      <c r="CM99" s="233"/>
      <c r="CN99" s="120"/>
      <c r="CO99" s="120"/>
      <c r="CP99" s="120"/>
      <c r="CQ99" s="120"/>
      <c r="CR99" s="120"/>
      <c r="CS99" s="120"/>
      <c r="CT99" s="120"/>
      <c r="CU99" s="120"/>
      <c r="CV99" s="120"/>
      <c r="CW99" s="120"/>
      <c r="CX99" s="120"/>
      <c r="CY99" s="120"/>
      <c r="CZ99" s="120"/>
      <c r="DA99" s="120"/>
      <c r="DB99" s="120"/>
      <c r="DC99" s="120"/>
      <c r="DD99" s="120"/>
      <c r="DE99" s="120"/>
      <c r="DF99" s="120"/>
      <c r="DO99" s="120">
        <v>88</v>
      </c>
      <c r="DP99" s="120" t="s">
        <v>17</v>
      </c>
      <c r="DR99" s="120">
        <v>2013</v>
      </c>
    </row>
    <row r="100" spans="1:122" ht="13.5">
      <c r="A100" s="233"/>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c r="CH100" s="233"/>
      <c r="CI100" s="233"/>
      <c r="CJ100" s="233"/>
      <c r="CK100" s="233"/>
      <c r="CL100" s="233"/>
      <c r="CM100" s="233"/>
      <c r="CN100" s="120"/>
      <c r="CO100" s="120"/>
      <c r="CP100" s="120"/>
      <c r="CQ100" s="120"/>
      <c r="CR100" s="120"/>
      <c r="CS100" s="120"/>
      <c r="CT100" s="120"/>
      <c r="CU100" s="120"/>
      <c r="CV100" s="120"/>
      <c r="CW100" s="120"/>
      <c r="CX100" s="120"/>
      <c r="CY100" s="120"/>
      <c r="CZ100" s="120"/>
      <c r="DA100" s="120"/>
      <c r="DB100" s="120"/>
      <c r="DC100" s="120"/>
      <c r="DD100" s="120"/>
      <c r="DE100" s="120"/>
      <c r="DF100" s="120"/>
      <c r="DO100" s="120">
        <v>89</v>
      </c>
      <c r="DP100" s="120" t="s">
        <v>21</v>
      </c>
      <c r="DR100" s="120">
        <v>2014</v>
      </c>
    </row>
    <row r="101" spans="1:122" ht="13.5">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c r="CF101" s="233"/>
      <c r="CG101" s="233"/>
      <c r="CH101" s="233"/>
      <c r="CI101" s="233"/>
      <c r="CJ101" s="233"/>
      <c r="CK101" s="233"/>
      <c r="CL101" s="233"/>
      <c r="CM101" s="233"/>
      <c r="CN101" s="120"/>
      <c r="CO101" s="120"/>
      <c r="CP101" s="120"/>
      <c r="CQ101" s="120"/>
      <c r="CR101" s="120"/>
      <c r="CS101" s="120"/>
      <c r="CT101" s="120"/>
      <c r="CU101" s="120"/>
      <c r="CV101" s="120"/>
      <c r="CW101" s="120"/>
      <c r="CX101" s="120"/>
      <c r="CY101" s="120"/>
      <c r="CZ101" s="120"/>
      <c r="DA101" s="120"/>
      <c r="DB101" s="120"/>
      <c r="DC101" s="120"/>
      <c r="DD101" s="120"/>
      <c r="DE101" s="120"/>
      <c r="DF101" s="120"/>
      <c r="DO101" s="120">
        <v>90</v>
      </c>
      <c r="DP101" s="120" t="s">
        <v>22</v>
      </c>
      <c r="DR101" s="120">
        <v>2015</v>
      </c>
    </row>
    <row r="102" spans="1:122" ht="13.5">
      <c r="A102" s="233"/>
      <c r="B102" s="233"/>
      <c r="C102" s="233"/>
      <c r="D102" s="233" t="s">
        <v>335</v>
      </c>
      <c r="E102" s="233" t="s">
        <v>340</v>
      </c>
      <c r="F102" s="233"/>
      <c r="G102" s="233"/>
      <c r="H102" s="233"/>
      <c r="I102" s="233"/>
      <c r="J102" s="233"/>
      <c r="K102" s="233"/>
      <c r="L102" s="233"/>
      <c r="M102" s="233" t="s">
        <v>339</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c r="CF102" s="233"/>
      <c r="CG102" s="233"/>
      <c r="CH102" s="233"/>
      <c r="CI102" s="233"/>
      <c r="CJ102" s="233"/>
      <c r="CK102" s="233"/>
      <c r="CL102" s="233"/>
      <c r="CM102" s="233"/>
      <c r="CN102" s="120"/>
      <c r="CO102" s="120"/>
      <c r="CP102" s="120"/>
      <c r="CQ102" s="120"/>
      <c r="CR102" s="120"/>
      <c r="CS102" s="120"/>
      <c r="CT102" s="120"/>
      <c r="CU102" s="120"/>
      <c r="CV102" s="120"/>
      <c r="CW102" s="120"/>
      <c r="CX102" s="120"/>
      <c r="CY102" s="120"/>
      <c r="CZ102" s="120"/>
      <c r="DA102" s="120"/>
      <c r="DB102" s="120"/>
      <c r="DC102" s="120"/>
      <c r="DD102" s="120"/>
      <c r="DE102" s="120"/>
      <c r="DF102" s="120"/>
      <c r="DO102" s="120">
        <v>91</v>
      </c>
      <c r="DP102" s="120" t="s">
        <v>23</v>
      </c>
      <c r="DR102" s="120">
        <v>2016</v>
      </c>
    </row>
    <row r="103" spans="1:122" ht="13.5">
      <c r="A103" s="233"/>
      <c r="B103" s="233" t="s">
        <v>334</v>
      </c>
      <c r="C103" s="233"/>
      <c r="D103" s="233"/>
      <c r="E103" s="233"/>
      <c r="F103" s="233" t="s">
        <v>336</v>
      </c>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c r="CF103" s="233"/>
      <c r="CG103" s="233"/>
      <c r="CH103" s="233"/>
      <c r="CI103" s="233"/>
      <c r="CJ103" s="233"/>
      <c r="CK103" s="233"/>
      <c r="CL103" s="233"/>
      <c r="CM103" s="233"/>
      <c r="CN103" s="120"/>
      <c r="CO103" s="120"/>
      <c r="CP103" s="120"/>
      <c r="CQ103" s="120"/>
      <c r="CR103" s="120"/>
      <c r="CS103" s="120"/>
      <c r="CT103" s="120"/>
      <c r="CU103" s="120"/>
      <c r="CV103" s="120"/>
      <c r="CW103" s="120"/>
      <c r="CX103" s="120"/>
      <c r="CY103" s="120"/>
      <c r="CZ103" s="120"/>
      <c r="DA103" s="120"/>
      <c r="DB103" s="120"/>
      <c r="DC103" s="120"/>
      <c r="DD103" s="120"/>
      <c r="DE103" s="120"/>
      <c r="DF103" s="120"/>
      <c r="DO103" s="120">
        <v>92</v>
      </c>
      <c r="DP103" s="120" t="s">
        <v>24</v>
      </c>
      <c r="DR103" s="120">
        <v>2017</v>
      </c>
    </row>
    <row r="104" spans="1:122" ht="14.25" thickBot="1">
      <c r="A104" s="233"/>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233"/>
      <c r="CM104" s="233"/>
      <c r="CN104" s="120"/>
      <c r="CO104" s="120"/>
      <c r="CP104" s="120"/>
      <c r="CQ104" s="120"/>
      <c r="CR104" s="120"/>
      <c r="CS104" s="120"/>
      <c r="CT104" s="120"/>
      <c r="CU104" s="120"/>
      <c r="CV104" s="120"/>
      <c r="CW104" s="120"/>
      <c r="CX104" s="120"/>
      <c r="CY104" s="120"/>
      <c r="CZ104" s="120"/>
      <c r="DA104" s="120"/>
      <c r="DB104" s="120"/>
      <c r="DC104" s="120"/>
      <c r="DD104" s="120"/>
      <c r="DE104" s="120"/>
      <c r="DF104" s="120"/>
      <c r="DO104" s="120">
        <v>93</v>
      </c>
      <c r="DP104" s="120" t="s">
        <v>488</v>
      </c>
      <c r="DR104" s="120">
        <v>2018</v>
      </c>
    </row>
    <row r="105" spans="1:122" ht="20.25" thickBot="1" thickTop="1">
      <c r="A105" s="233"/>
      <c r="B105" s="222" t="s">
        <v>32</v>
      </c>
      <c r="C105" s="223"/>
      <c r="D105" s="224" t="s">
        <v>33</v>
      </c>
      <c r="E105" s="220">
        <v>23</v>
      </c>
      <c r="F105" s="221" t="s">
        <v>34</v>
      </c>
      <c r="G105" s="233"/>
      <c r="H105" s="233"/>
      <c r="I105" s="233" t="s">
        <v>35</v>
      </c>
      <c r="J105" s="455" t="s">
        <v>309</v>
      </c>
      <c r="K105" s="456"/>
      <c r="L105" s="456"/>
      <c r="M105" s="457"/>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120"/>
      <c r="CO105" s="120"/>
      <c r="CP105" s="120"/>
      <c r="CQ105" s="120"/>
      <c r="CR105" s="120"/>
      <c r="CS105" s="120"/>
      <c r="CT105" s="120"/>
      <c r="CU105" s="120"/>
      <c r="CV105" s="120"/>
      <c r="CW105" s="120"/>
      <c r="CX105" s="120"/>
      <c r="CY105" s="120"/>
      <c r="CZ105" s="120"/>
      <c r="DA105" s="120"/>
      <c r="DB105" s="120"/>
      <c r="DC105" s="120"/>
      <c r="DD105" s="120"/>
      <c r="DE105" s="120"/>
      <c r="DF105" s="120"/>
      <c r="DO105" s="120">
        <v>94</v>
      </c>
      <c r="DP105" s="120" t="s">
        <v>605</v>
      </c>
      <c r="DR105" s="120">
        <v>2019</v>
      </c>
    </row>
    <row r="106" spans="1:122" ht="20.25" thickBot="1" thickTop="1">
      <c r="A106" s="233"/>
      <c r="B106" s="223"/>
      <c r="C106" s="223"/>
      <c r="D106" s="224"/>
      <c r="E106" s="220"/>
      <c r="F106" s="393"/>
      <c r="G106" s="233"/>
      <c r="H106" s="233"/>
      <c r="I106" s="233"/>
      <c r="J106" s="394"/>
      <c r="K106" s="394"/>
      <c r="L106" s="394"/>
      <c r="M106" s="394"/>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120"/>
      <c r="CO106" s="120"/>
      <c r="CP106" s="120"/>
      <c r="CQ106" s="120"/>
      <c r="CR106" s="120"/>
      <c r="CS106" s="120"/>
      <c r="CT106" s="120"/>
      <c r="CU106" s="120"/>
      <c r="CV106" s="120"/>
      <c r="CW106" s="120"/>
      <c r="CX106" s="120"/>
      <c r="CY106" s="120"/>
      <c r="CZ106" s="120"/>
      <c r="DA106" s="120"/>
      <c r="DB106" s="120"/>
      <c r="DC106" s="120"/>
      <c r="DD106" s="120"/>
      <c r="DE106" s="120"/>
      <c r="DF106" s="120"/>
      <c r="DO106" s="120">
        <v>95</v>
      </c>
      <c r="DP106" s="120">
        <v>1</v>
      </c>
      <c r="DR106" s="120">
        <v>2019</v>
      </c>
    </row>
    <row r="107" spans="1:122" ht="14.25" thickTop="1">
      <c r="A107" s="233"/>
      <c r="B107" s="473" t="s">
        <v>37</v>
      </c>
      <c r="C107" s="474" t="s">
        <v>38</v>
      </c>
      <c r="D107" s="475" t="s">
        <v>277</v>
      </c>
      <c r="E107" s="476" t="s">
        <v>40</v>
      </c>
      <c r="F107" s="477"/>
      <c r="G107" s="478" t="s">
        <v>41</v>
      </c>
      <c r="H107" s="479" t="s">
        <v>45</v>
      </c>
      <c r="I107" s="480"/>
      <c r="J107" s="434" t="s">
        <v>311</v>
      </c>
      <c r="K107" s="436" t="s">
        <v>43</v>
      </c>
      <c r="L107" s="231" t="s">
        <v>312</v>
      </c>
      <c r="M107" s="436" t="s">
        <v>287</v>
      </c>
      <c r="N107" s="448" t="s">
        <v>284</v>
      </c>
      <c r="O107" s="449"/>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120"/>
      <c r="CO107" s="120"/>
      <c r="CP107" s="120"/>
      <c r="CQ107" s="120"/>
      <c r="CR107" s="120"/>
      <c r="CS107" s="120"/>
      <c r="CT107" s="120"/>
      <c r="CU107" s="120"/>
      <c r="CV107" s="120"/>
      <c r="CW107" s="120"/>
      <c r="CX107" s="120"/>
      <c r="CY107" s="120"/>
      <c r="CZ107" s="120"/>
      <c r="DA107" s="120"/>
      <c r="DB107" s="120"/>
      <c r="DC107" s="120"/>
      <c r="DD107" s="120"/>
      <c r="DE107" s="120"/>
      <c r="DF107" s="120"/>
      <c r="DO107" s="120">
        <v>96</v>
      </c>
      <c r="DP107" s="120">
        <f>DP106+1</f>
        <v>2</v>
      </c>
      <c r="DR107" s="120">
        <v>2020</v>
      </c>
    </row>
    <row r="108" spans="1:122" ht="14.25" thickBot="1">
      <c r="A108" s="234"/>
      <c r="B108" s="467"/>
      <c r="C108" s="469"/>
      <c r="D108" s="445"/>
      <c r="E108" s="442"/>
      <c r="F108" s="443"/>
      <c r="G108" s="445"/>
      <c r="H108" s="184" t="s">
        <v>91</v>
      </c>
      <c r="I108" s="183" t="s">
        <v>90</v>
      </c>
      <c r="J108" s="435"/>
      <c r="K108" s="437"/>
      <c r="L108" s="225" t="s">
        <v>313</v>
      </c>
      <c r="M108" s="437"/>
      <c r="N108" s="200" t="s">
        <v>285</v>
      </c>
      <c r="O108" s="201" t="s">
        <v>286</v>
      </c>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120"/>
      <c r="CO108" s="120"/>
      <c r="CP108" s="120"/>
      <c r="CQ108" s="120"/>
      <c r="CR108" s="120"/>
      <c r="CS108" s="120"/>
      <c r="CT108" s="120"/>
      <c r="CU108" s="120"/>
      <c r="CV108" s="120"/>
      <c r="CW108" s="120"/>
      <c r="CX108" s="120"/>
      <c r="CY108" s="120"/>
      <c r="CZ108" s="120"/>
      <c r="DA108" s="120"/>
      <c r="DB108" s="120"/>
      <c r="DC108" s="120"/>
      <c r="DD108" s="120"/>
      <c r="DE108" s="120"/>
      <c r="DF108" s="120"/>
      <c r="DO108" s="120">
        <v>97</v>
      </c>
      <c r="DP108" s="120">
        <f aca="true" t="shared" si="80" ref="DP108:DP172">DP107+1</f>
        <v>3</v>
      </c>
      <c r="DR108" s="120">
        <v>2021</v>
      </c>
    </row>
    <row r="109" spans="1:122" ht="14.25" thickTop="1">
      <c r="A109" s="471" t="s">
        <v>36</v>
      </c>
      <c r="B109" s="202" t="s">
        <v>314</v>
      </c>
      <c r="C109" s="203" t="s">
        <v>48</v>
      </c>
      <c r="D109" s="204"/>
      <c r="E109" s="205" t="s">
        <v>315</v>
      </c>
      <c r="F109" s="205">
        <v>4</v>
      </c>
      <c r="G109" s="206">
        <v>3000000</v>
      </c>
      <c r="H109" s="207">
        <v>22</v>
      </c>
      <c r="I109" s="208">
        <v>22</v>
      </c>
      <c r="J109" s="209">
        <v>0.5</v>
      </c>
      <c r="K109" s="210"/>
      <c r="L109" s="230">
        <f>IF(B109&lt;&gt;"",IF(OR(E109="",F109="",G109="",H109="",I109=""),"未入力項目あり",""),IF(AND(J109="",K109=""),"","不要項目入力あり"))</f>
      </c>
      <c r="M109" s="191">
        <f>IF(B109="",IF(OR(E109&lt;&gt;"",F109&lt;&gt;"",G109&lt;&gt;"",H109&lt;&gt;"",I109&lt;&gt;"",),"不要項目あり","OK"),"")&amp;L109</f>
      </c>
      <c r="N109" s="193">
        <f>CA109</f>
        <v>0</v>
      </c>
      <c r="O109" s="199">
        <f>CB109</f>
        <v>0</v>
      </c>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c r="CF109" s="233"/>
      <c r="CG109" s="233"/>
      <c r="CH109" s="233"/>
      <c r="CI109" s="233"/>
      <c r="CJ109" s="233"/>
      <c r="CK109" s="233"/>
      <c r="CL109" s="233"/>
      <c r="CM109" s="233"/>
      <c r="CN109" s="120"/>
      <c r="CO109" s="120"/>
      <c r="CP109" s="120"/>
      <c r="CQ109" s="120"/>
      <c r="CR109" s="120"/>
      <c r="CS109" s="120"/>
      <c r="CT109" s="120"/>
      <c r="CU109" s="120"/>
      <c r="CV109" s="120"/>
      <c r="CW109" s="120"/>
      <c r="CX109" s="120"/>
      <c r="CY109" s="120"/>
      <c r="CZ109" s="120"/>
      <c r="DA109" s="120"/>
      <c r="DB109" s="120"/>
      <c r="DC109" s="120"/>
      <c r="DD109" s="120"/>
      <c r="DE109" s="120"/>
      <c r="DF109" s="120"/>
      <c r="DO109" s="120">
        <v>98</v>
      </c>
      <c r="DP109" s="120">
        <f t="shared" si="80"/>
        <v>4</v>
      </c>
      <c r="DR109" s="120">
        <v>2022</v>
      </c>
    </row>
    <row r="110" spans="1:122" ht="14.25" thickBot="1">
      <c r="A110" s="472"/>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c r="CF110" s="233"/>
      <c r="CG110" s="233"/>
      <c r="CH110" s="233"/>
      <c r="CI110" s="233"/>
      <c r="CJ110" s="233"/>
      <c r="CK110" s="233"/>
      <c r="CL110" s="233"/>
      <c r="CM110" s="233"/>
      <c r="CN110" s="120"/>
      <c r="CO110" s="120"/>
      <c r="CP110" s="120"/>
      <c r="CQ110" s="120"/>
      <c r="CR110" s="120"/>
      <c r="CS110" s="120"/>
      <c r="CT110" s="120"/>
      <c r="CU110" s="120"/>
      <c r="CV110" s="120"/>
      <c r="CW110" s="120"/>
      <c r="CX110" s="120"/>
      <c r="CY110" s="120"/>
      <c r="CZ110" s="120"/>
      <c r="DA110" s="120"/>
      <c r="DB110" s="120"/>
      <c r="DC110" s="120"/>
      <c r="DD110" s="120"/>
      <c r="DE110" s="120"/>
      <c r="DF110" s="120"/>
      <c r="DO110" s="120">
        <v>99</v>
      </c>
      <c r="DP110" s="120">
        <f t="shared" si="80"/>
        <v>5</v>
      </c>
      <c r="DR110" s="120">
        <v>2023</v>
      </c>
    </row>
    <row r="111" spans="1:122" ht="14.25" thickTop="1">
      <c r="A111" s="219">
        <v>1</v>
      </c>
      <c r="B111" s="233"/>
      <c r="C111" s="233"/>
      <c r="D111" s="233" t="s">
        <v>337</v>
      </c>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c r="CH111" s="233"/>
      <c r="CI111" s="233"/>
      <c r="CJ111" s="233"/>
      <c r="CK111" s="233"/>
      <c r="CL111" s="233"/>
      <c r="CM111" s="233"/>
      <c r="CN111" s="120"/>
      <c r="CO111" s="120"/>
      <c r="CP111" s="120"/>
      <c r="CQ111" s="120"/>
      <c r="CR111" s="120"/>
      <c r="CS111" s="120"/>
      <c r="CT111" s="120"/>
      <c r="CU111" s="120"/>
      <c r="CV111" s="120"/>
      <c r="CW111" s="120"/>
      <c r="CX111" s="120"/>
      <c r="CY111" s="120"/>
      <c r="CZ111" s="120"/>
      <c r="DA111" s="120"/>
      <c r="DB111" s="120"/>
      <c r="DC111" s="120"/>
      <c r="DD111" s="120"/>
      <c r="DE111" s="120"/>
      <c r="DF111" s="120"/>
      <c r="DP111" s="120">
        <f t="shared" si="80"/>
        <v>6</v>
      </c>
      <c r="DR111" s="120">
        <v>2024</v>
      </c>
    </row>
    <row r="112" spans="1:122" ht="13.5">
      <c r="A112" s="233"/>
      <c r="B112" s="233" t="s">
        <v>338</v>
      </c>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120"/>
      <c r="CO112" s="120"/>
      <c r="CP112" s="120"/>
      <c r="CQ112" s="120"/>
      <c r="CR112" s="120"/>
      <c r="CS112" s="120"/>
      <c r="CT112" s="120"/>
      <c r="CU112" s="120"/>
      <c r="CV112" s="120"/>
      <c r="CW112" s="120"/>
      <c r="CX112" s="120"/>
      <c r="CY112" s="120"/>
      <c r="CZ112" s="120"/>
      <c r="DA112" s="120"/>
      <c r="DB112" s="120"/>
      <c r="DC112" s="120"/>
      <c r="DD112" s="120"/>
      <c r="DE112" s="120"/>
      <c r="DF112" s="120"/>
      <c r="DP112" s="120">
        <f t="shared" si="80"/>
        <v>7</v>
      </c>
      <c r="DR112" s="120">
        <v>2025</v>
      </c>
    </row>
    <row r="113" spans="1:122" ht="13.5">
      <c r="A113" s="233"/>
      <c r="B113" s="233"/>
      <c r="C113" s="233"/>
      <c r="D113" s="233"/>
      <c r="E113" s="233" t="s">
        <v>341</v>
      </c>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c r="CF113" s="233"/>
      <c r="CG113" s="233"/>
      <c r="CH113" s="233"/>
      <c r="CI113" s="233"/>
      <c r="CJ113" s="233"/>
      <c r="CK113" s="233"/>
      <c r="CL113" s="233"/>
      <c r="CM113" s="233"/>
      <c r="CN113" s="120"/>
      <c r="CO113" s="120"/>
      <c r="CP113" s="120"/>
      <c r="CQ113" s="120"/>
      <c r="CR113" s="120"/>
      <c r="CS113" s="120"/>
      <c r="CT113" s="120"/>
      <c r="CU113" s="120"/>
      <c r="CV113" s="120"/>
      <c r="CW113" s="120"/>
      <c r="CX113" s="120"/>
      <c r="CY113" s="120"/>
      <c r="CZ113" s="120"/>
      <c r="DA113" s="120"/>
      <c r="DB113" s="120"/>
      <c r="DC113" s="120"/>
      <c r="DD113" s="120"/>
      <c r="DE113" s="120"/>
      <c r="DF113" s="120"/>
      <c r="DP113" s="120">
        <f t="shared" si="80"/>
        <v>8</v>
      </c>
      <c r="DR113" s="120">
        <v>2026</v>
      </c>
    </row>
    <row r="114" spans="1:122" ht="13.5">
      <c r="A114" s="233"/>
      <c r="B114" s="233"/>
      <c r="C114" s="233"/>
      <c r="D114" s="233"/>
      <c r="E114" s="233" t="s">
        <v>342</v>
      </c>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120"/>
      <c r="CO114" s="120"/>
      <c r="CP114" s="120"/>
      <c r="CQ114" s="120"/>
      <c r="CR114" s="120"/>
      <c r="CS114" s="120"/>
      <c r="CT114" s="120"/>
      <c r="CU114" s="120"/>
      <c r="CV114" s="120"/>
      <c r="CW114" s="120"/>
      <c r="CX114" s="120"/>
      <c r="CY114" s="120"/>
      <c r="CZ114" s="120"/>
      <c r="DA114" s="120"/>
      <c r="DB114" s="120"/>
      <c r="DC114" s="120"/>
      <c r="DD114" s="120"/>
      <c r="DE114" s="120"/>
      <c r="DF114" s="120"/>
      <c r="DP114" s="120">
        <f t="shared" si="80"/>
        <v>9</v>
      </c>
      <c r="DR114" s="120">
        <v>2027</v>
      </c>
    </row>
    <row r="115" spans="1:122" ht="13.5">
      <c r="A115" s="233"/>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c r="CM115" s="233"/>
      <c r="CN115" s="120"/>
      <c r="CO115" s="120"/>
      <c r="CP115" s="120"/>
      <c r="CQ115" s="120"/>
      <c r="CR115" s="120"/>
      <c r="CS115" s="120"/>
      <c r="CT115" s="120"/>
      <c r="CU115" s="120"/>
      <c r="CV115" s="120"/>
      <c r="CW115" s="120"/>
      <c r="CX115" s="120"/>
      <c r="CY115" s="120"/>
      <c r="CZ115" s="120"/>
      <c r="DA115" s="120"/>
      <c r="DB115" s="120"/>
      <c r="DC115" s="120"/>
      <c r="DD115" s="120"/>
      <c r="DE115" s="120"/>
      <c r="DF115" s="120"/>
      <c r="DP115" s="120">
        <f t="shared" si="80"/>
        <v>10</v>
      </c>
      <c r="DR115" s="120">
        <v>2028</v>
      </c>
    </row>
    <row r="116" spans="1:122" ht="13.5">
      <c r="A116" s="233"/>
      <c r="B116" s="233"/>
      <c r="C116" s="233"/>
      <c r="D116" s="233"/>
      <c r="E116" s="233"/>
      <c r="F116" s="233"/>
      <c r="G116" s="233"/>
      <c r="H116" s="233"/>
      <c r="I116" s="233" t="s">
        <v>343</v>
      </c>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c r="CM116" s="233"/>
      <c r="CN116" s="120"/>
      <c r="CO116" s="120"/>
      <c r="CP116" s="120"/>
      <c r="CQ116" s="120"/>
      <c r="CR116" s="120"/>
      <c r="CS116" s="120"/>
      <c r="CT116" s="120"/>
      <c r="CU116" s="120"/>
      <c r="CV116" s="120"/>
      <c r="CW116" s="120"/>
      <c r="CX116" s="120"/>
      <c r="CY116" s="120"/>
      <c r="CZ116" s="120"/>
      <c r="DA116" s="120"/>
      <c r="DB116" s="120"/>
      <c r="DC116" s="120"/>
      <c r="DD116" s="120"/>
      <c r="DE116" s="120"/>
      <c r="DF116" s="120"/>
      <c r="DP116" s="120">
        <f t="shared" si="80"/>
        <v>11</v>
      </c>
      <c r="DR116" s="120">
        <v>2029</v>
      </c>
    </row>
    <row r="117" spans="1:122" ht="13.5">
      <c r="A117" s="233"/>
      <c r="B117" s="233"/>
      <c r="C117" s="233"/>
      <c r="D117" s="233"/>
      <c r="E117" s="233"/>
      <c r="F117" s="233"/>
      <c r="G117" s="233"/>
      <c r="H117" s="233"/>
      <c r="I117" s="233" t="s">
        <v>344</v>
      </c>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c r="CF117" s="233"/>
      <c r="CG117" s="233"/>
      <c r="CH117" s="233"/>
      <c r="CI117" s="233"/>
      <c r="CJ117" s="233"/>
      <c r="CK117" s="233"/>
      <c r="CL117" s="233"/>
      <c r="CM117" s="233"/>
      <c r="CN117" s="120"/>
      <c r="CO117" s="120"/>
      <c r="CP117" s="120"/>
      <c r="CQ117" s="120"/>
      <c r="CR117" s="120"/>
      <c r="CS117" s="120"/>
      <c r="CT117" s="120"/>
      <c r="CU117" s="120"/>
      <c r="CV117" s="120"/>
      <c r="CW117" s="120"/>
      <c r="CX117" s="120"/>
      <c r="CY117" s="120"/>
      <c r="CZ117" s="120"/>
      <c r="DA117" s="120"/>
      <c r="DB117" s="120"/>
      <c r="DC117" s="120"/>
      <c r="DD117" s="120"/>
      <c r="DE117" s="120"/>
      <c r="DF117" s="120"/>
      <c r="DP117" s="120">
        <f t="shared" si="80"/>
        <v>12</v>
      </c>
      <c r="DR117" s="120">
        <v>2030</v>
      </c>
    </row>
    <row r="118" spans="1:122" ht="13.5">
      <c r="A118" s="233"/>
      <c r="B118" s="233"/>
      <c r="C118" s="233"/>
      <c r="D118" s="233"/>
      <c r="E118" s="233"/>
      <c r="F118" s="233"/>
      <c r="G118" s="233"/>
      <c r="H118" s="233"/>
      <c r="I118" s="233" t="s">
        <v>345</v>
      </c>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3"/>
      <c r="CN118" s="120"/>
      <c r="CO118" s="120"/>
      <c r="CP118" s="120"/>
      <c r="CQ118" s="120"/>
      <c r="CR118" s="120"/>
      <c r="CS118" s="120"/>
      <c r="CT118" s="120"/>
      <c r="CU118" s="120"/>
      <c r="CV118" s="120"/>
      <c r="CW118" s="120"/>
      <c r="CX118" s="120"/>
      <c r="CY118" s="120"/>
      <c r="CZ118" s="120"/>
      <c r="DA118" s="120"/>
      <c r="DB118" s="120"/>
      <c r="DC118" s="120"/>
      <c r="DD118" s="120"/>
      <c r="DE118" s="120"/>
      <c r="DF118" s="120"/>
      <c r="DP118" s="120">
        <f t="shared" si="80"/>
        <v>13</v>
      </c>
      <c r="DR118" s="120">
        <v>2031</v>
      </c>
    </row>
    <row r="119" spans="1:122" ht="13.5">
      <c r="A119" s="233"/>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120"/>
      <c r="CO119" s="120"/>
      <c r="CP119" s="120"/>
      <c r="CQ119" s="120"/>
      <c r="CR119" s="120"/>
      <c r="CS119" s="120"/>
      <c r="CT119" s="120"/>
      <c r="CU119" s="120"/>
      <c r="CV119" s="120"/>
      <c r="CW119" s="120"/>
      <c r="CX119" s="120"/>
      <c r="CY119" s="120"/>
      <c r="CZ119" s="120"/>
      <c r="DA119" s="120"/>
      <c r="DB119" s="120"/>
      <c r="DC119" s="120"/>
      <c r="DD119" s="120"/>
      <c r="DE119" s="120"/>
      <c r="DF119" s="120"/>
      <c r="DP119" s="120">
        <f t="shared" si="80"/>
        <v>14</v>
      </c>
      <c r="DR119" s="120">
        <v>2032</v>
      </c>
    </row>
    <row r="120" spans="1:122" ht="13.5">
      <c r="A120" s="233"/>
      <c r="B120" s="233"/>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120"/>
      <c r="CO120" s="120"/>
      <c r="CP120" s="120"/>
      <c r="CQ120" s="120"/>
      <c r="CR120" s="120"/>
      <c r="CS120" s="120"/>
      <c r="CT120" s="120"/>
      <c r="CU120" s="120"/>
      <c r="CV120" s="120"/>
      <c r="CW120" s="120"/>
      <c r="CX120" s="120"/>
      <c r="CY120" s="120"/>
      <c r="CZ120" s="120"/>
      <c r="DA120" s="120"/>
      <c r="DB120" s="120"/>
      <c r="DC120" s="120"/>
      <c r="DD120" s="120"/>
      <c r="DE120" s="120"/>
      <c r="DF120" s="120"/>
      <c r="DP120" s="120">
        <f t="shared" si="80"/>
        <v>15</v>
      </c>
      <c r="DR120" s="120">
        <v>2033</v>
      </c>
    </row>
    <row r="121" spans="1:122" ht="13.5">
      <c r="A121" s="233"/>
      <c r="B121" s="233"/>
      <c r="C121" s="233"/>
      <c r="D121" s="233"/>
      <c r="E121" s="233"/>
      <c r="F121" s="233"/>
      <c r="G121" s="233"/>
      <c r="H121" s="233"/>
      <c r="I121" s="233"/>
      <c r="J121" s="233"/>
      <c r="K121" s="233" t="s">
        <v>346</v>
      </c>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120"/>
      <c r="CO121" s="120"/>
      <c r="CP121" s="120"/>
      <c r="CQ121" s="120"/>
      <c r="CR121" s="120"/>
      <c r="CS121" s="120"/>
      <c r="CT121" s="120"/>
      <c r="CU121" s="120"/>
      <c r="CV121" s="120"/>
      <c r="CW121" s="120"/>
      <c r="CX121" s="120"/>
      <c r="CY121" s="120"/>
      <c r="CZ121" s="120"/>
      <c r="DA121" s="120"/>
      <c r="DB121" s="120"/>
      <c r="DC121" s="120"/>
      <c r="DD121" s="120"/>
      <c r="DE121" s="120"/>
      <c r="DF121" s="120"/>
      <c r="DP121" s="120">
        <f t="shared" si="80"/>
        <v>16</v>
      </c>
      <c r="DR121" s="120">
        <v>2034</v>
      </c>
    </row>
    <row r="122" spans="1:122" ht="13.5">
      <c r="A122" s="233"/>
      <c r="B122" s="233"/>
      <c r="C122" s="233"/>
      <c r="D122" s="233"/>
      <c r="E122" s="233"/>
      <c r="F122" s="233"/>
      <c r="G122" s="233"/>
      <c r="H122" s="233"/>
      <c r="I122" s="233"/>
      <c r="J122" s="233"/>
      <c r="K122" s="233" t="s">
        <v>347</v>
      </c>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120"/>
      <c r="CO122" s="120"/>
      <c r="CP122" s="120"/>
      <c r="CQ122" s="120"/>
      <c r="CR122" s="120"/>
      <c r="CS122" s="120"/>
      <c r="CT122" s="120"/>
      <c r="CU122" s="120"/>
      <c r="CV122" s="120"/>
      <c r="CW122" s="120"/>
      <c r="CX122" s="120"/>
      <c r="CY122" s="120"/>
      <c r="CZ122" s="120"/>
      <c r="DA122" s="120"/>
      <c r="DB122" s="120"/>
      <c r="DC122" s="120"/>
      <c r="DD122" s="120"/>
      <c r="DE122" s="120"/>
      <c r="DF122" s="120"/>
      <c r="DP122" s="120">
        <f t="shared" si="80"/>
        <v>17</v>
      </c>
      <c r="DR122" s="120">
        <v>2035</v>
      </c>
    </row>
    <row r="123" spans="1:122" ht="13.5">
      <c r="A123" s="233"/>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c r="CF123" s="233"/>
      <c r="CG123" s="233"/>
      <c r="CH123" s="233"/>
      <c r="CI123" s="233"/>
      <c r="CJ123" s="233"/>
      <c r="CK123" s="233"/>
      <c r="CL123" s="233"/>
      <c r="CM123" s="233"/>
      <c r="CN123" s="120"/>
      <c r="CO123" s="120"/>
      <c r="CP123" s="120"/>
      <c r="CQ123" s="120"/>
      <c r="CR123" s="120"/>
      <c r="CS123" s="120"/>
      <c r="CT123" s="120"/>
      <c r="CU123" s="120"/>
      <c r="CV123" s="120"/>
      <c r="CW123" s="120"/>
      <c r="CX123" s="120"/>
      <c r="CY123" s="120"/>
      <c r="CZ123" s="120"/>
      <c r="DA123" s="120"/>
      <c r="DB123" s="120"/>
      <c r="DC123" s="120"/>
      <c r="DD123" s="120"/>
      <c r="DE123" s="120"/>
      <c r="DF123" s="120"/>
      <c r="DP123" s="120">
        <f t="shared" si="80"/>
        <v>18</v>
      </c>
      <c r="DR123" s="120">
        <v>2036</v>
      </c>
    </row>
    <row r="124" spans="1:122" ht="13.5">
      <c r="A124" s="233"/>
      <c r="B124" s="233" t="s">
        <v>349</v>
      </c>
      <c r="C124" s="233" t="s">
        <v>350</v>
      </c>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c r="CF124" s="233"/>
      <c r="CG124" s="233"/>
      <c r="CH124" s="233"/>
      <c r="CI124" s="233"/>
      <c r="CJ124" s="233"/>
      <c r="CK124" s="233"/>
      <c r="CL124" s="233"/>
      <c r="CM124" s="233"/>
      <c r="CN124" s="120"/>
      <c r="CO124" s="120"/>
      <c r="CP124" s="120"/>
      <c r="CQ124" s="120"/>
      <c r="CR124" s="120"/>
      <c r="CS124" s="120"/>
      <c r="CT124" s="120"/>
      <c r="CU124" s="120"/>
      <c r="CV124" s="120"/>
      <c r="CW124" s="120"/>
      <c r="CX124" s="120"/>
      <c r="CY124" s="120"/>
      <c r="CZ124" s="120"/>
      <c r="DA124" s="120"/>
      <c r="DB124" s="120"/>
      <c r="DC124" s="120"/>
      <c r="DD124" s="120"/>
      <c r="DE124" s="120"/>
      <c r="DF124" s="120"/>
      <c r="DP124" s="120">
        <f t="shared" si="80"/>
        <v>19</v>
      </c>
      <c r="DR124" s="120">
        <v>2037</v>
      </c>
    </row>
    <row r="125" spans="1:122" ht="13.5">
      <c r="A125" s="233"/>
      <c r="B125" s="233"/>
      <c r="C125" s="233" t="s">
        <v>351</v>
      </c>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120"/>
      <c r="CO125" s="120"/>
      <c r="CP125" s="120"/>
      <c r="CQ125" s="120"/>
      <c r="CR125" s="120"/>
      <c r="CS125" s="120"/>
      <c r="CT125" s="120"/>
      <c r="CU125" s="120"/>
      <c r="CV125" s="120"/>
      <c r="CW125" s="120"/>
      <c r="CX125" s="120"/>
      <c r="CY125" s="120"/>
      <c r="CZ125" s="120"/>
      <c r="DA125" s="120"/>
      <c r="DB125" s="120"/>
      <c r="DC125" s="120"/>
      <c r="DD125" s="120"/>
      <c r="DE125" s="120"/>
      <c r="DF125" s="120"/>
      <c r="DP125" s="120">
        <f t="shared" si="80"/>
        <v>20</v>
      </c>
      <c r="DR125" s="120">
        <v>2038</v>
      </c>
    </row>
    <row r="126" spans="1:122" ht="13.5">
      <c r="A126" s="233"/>
      <c r="B126" s="233"/>
      <c r="C126" s="233" t="s">
        <v>352</v>
      </c>
      <c r="D126" s="233"/>
      <c r="E126" s="233"/>
      <c r="F126" s="233"/>
      <c r="G126" s="233" t="s">
        <v>353</v>
      </c>
      <c r="H126" s="233"/>
      <c r="I126" s="233"/>
      <c r="J126" s="233"/>
      <c r="K126" s="260" t="s">
        <v>354</v>
      </c>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120"/>
      <c r="CO126" s="120"/>
      <c r="CP126" s="120"/>
      <c r="CQ126" s="120"/>
      <c r="CR126" s="120"/>
      <c r="CS126" s="120"/>
      <c r="CT126" s="120"/>
      <c r="CU126" s="120"/>
      <c r="CV126" s="120"/>
      <c r="CW126" s="120"/>
      <c r="CX126" s="120"/>
      <c r="CY126" s="120"/>
      <c r="CZ126" s="120"/>
      <c r="DA126" s="120"/>
      <c r="DB126" s="120"/>
      <c r="DC126" s="120"/>
      <c r="DD126" s="120"/>
      <c r="DE126" s="120"/>
      <c r="DF126" s="120"/>
      <c r="DP126" s="120">
        <f t="shared" si="80"/>
        <v>21</v>
      </c>
      <c r="DR126" s="120">
        <v>2039</v>
      </c>
    </row>
    <row r="127" spans="1:122" ht="13.5">
      <c r="A127" s="233"/>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120"/>
      <c r="CO127" s="120"/>
      <c r="CP127" s="120"/>
      <c r="CQ127" s="120"/>
      <c r="CR127" s="120"/>
      <c r="CS127" s="120"/>
      <c r="CT127" s="120"/>
      <c r="CU127" s="120"/>
      <c r="CV127" s="120"/>
      <c r="CW127" s="120"/>
      <c r="CX127" s="120"/>
      <c r="CY127" s="120"/>
      <c r="CZ127" s="120"/>
      <c r="DA127" s="120"/>
      <c r="DB127" s="120"/>
      <c r="DC127" s="120"/>
      <c r="DD127" s="120"/>
      <c r="DE127" s="120"/>
      <c r="DF127" s="120"/>
      <c r="DP127" s="120">
        <f t="shared" si="80"/>
        <v>22</v>
      </c>
      <c r="DR127" s="120">
        <v>2040</v>
      </c>
    </row>
    <row r="128" spans="1:122" ht="13.5">
      <c r="A128" s="233"/>
      <c r="B128" s="233"/>
      <c r="C128" s="233"/>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120"/>
      <c r="CO128" s="120"/>
      <c r="CP128" s="120"/>
      <c r="CQ128" s="120"/>
      <c r="CR128" s="120"/>
      <c r="CS128" s="120"/>
      <c r="CT128" s="120"/>
      <c r="CU128" s="120"/>
      <c r="CV128" s="120"/>
      <c r="CW128" s="120"/>
      <c r="CX128" s="120"/>
      <c r="CY128" s="120"/>
      <c r="CZ128" s="120"/>
      <c r="DA128" s="120"/>
      <c r="DB128" s="120"/>
      <c r="DC128" s="120"/>
      <c r="DD128" s="120"/>
      <c r="DE128" s="120"/>
      <c r="DF128" s="120"/>
      <c r="DP128" s="120">
        <f t="shared" si="80"/>
        <v>23</v>
      </c>
      <c r="DR128" s="120">
        <v>2041</v>
      </c>
    </row>
    <row r="129" spans="1:122" ht="13.5">
      <c r="A129" s="233"/>
      <c r="B129" s="233" t="s">
        <v>356</v>
      </c>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c r="BT129" s="233"/>
      <c r="BU129" s="233"/>
      <c r="BV129" s="233"/>
      <c r="BW129" s="233"/>
      <c r="BX129" s="233"/>
      <c r="BY129" s="233"/>
      <c r="BZ129" s="233"/>
      <c r="CA129" s="233"/>
      <c r="CB129" s="233"/>
      <c r="CC129" s="233"/>
      <c r="CD129" s="233"/>
      <c r="CE129" s="233"/>
      <c r="CF129" s="233"/>
      <c r="CG129" s="233"/>
      <c r="CH129" s="233"/>
      <c r="CI129" s="233"/>
      <c r="CJ129" s="233"/>
      <c r="CK129" s="233"/>
      <c r="CL129" s="233"/>
      <c r="CM129" s="233"/>
      <c r="CN129" s="120"/>
      <c r="CO129" s="120"/>
      <c r="CP129" s="120"/>
      <c r="CQ129" s="120"/>
      <c r="CR129" s="120"/>
      <c r="CS129" s="120"/>
      <c r="CT129" s="120"/>
      <c r="CU129" s="120"/>
      <c r="CV129" s="120"/>
      <c r="CW129" s="120"/>
      <c r="CX129" s="120"/>
      <c r="CY129" s="120"/>
      <c r="CZ129" s="120"/>
      <c r="DA129" s="120"/>
      <c r="DB129" s="120"/>
      <c r="DC129" s="120"/>
      <c r="DD129" s="120"/>
      <c r="DE129" s="120"/>
      <c r="DF129" s="120"/>
      <c r="DP129" s="120">
        <f t="shared" si="80"/>
        <v>24</v>
      </c>
      <c r="DR129" s="120">
        <v>2042</v>
      </c>
    </row>
    <row r="130" spans="1:122" ht="13.5">
      <c r="A130" s="233"/>
      <c r="B130" s="233" t="s">
        <v>357</v>
      </c>
      <c r="C130" s="233"/>
      <c r="D130" s="233"/>
      <c r="E130" s="233"/>
      <c r="F130" s="233" t="s">
        <v>358</v>
      </c>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c r="CA130" s="233"/>
      <c r="CB130" s="233"/>
      <c r="CC130" s="233"/>
      <c r="CD130" s="233"/>
      <c r="CE130" s="233"/>
      <c r="CF130" s="233"/>
      <c r="CG130" s="233"/>
      <c r="CH130" s="233"/>
      <c r="CI130" s="233"/>
      <c r="CJ130" s="233"/>
      <c r="CK130" s="233"/>
      <c r="CL130" s="233"/>
      <c r="CM130" s="233"/>
      <c r="CN130" s="120"/>
      <c r="CO130" s="120"/>
      <c r="CP130" s="120"/>
      <c r="CQ130" s="120"/>
      <c r="CR130" s="120"/>
      <c r="CS130" s="120"/>
      <c r="CT130" s="120"/>
      <c r="CU130" s="120"/>
      <c r="CV130" s="120"/>
      <c r="CW130" s="120"/>
      <c r="CX130" s="120"/>
      <c r="CY130" s="120"/>
      <c r="CZ130" s="120"/>
      <c r="DA130" s="120"/>
      <c r="DB130" s="120"/>
      <c r="DC130" s="120"/>
      <c r="DD130" s="120"/>
      <c r="DE130" s="120"/>
      <c r="DF130" s="120"/>
      <c r="DP130" s="120">
        <f t="shared" si="80"/>
        <v>25</v>
      </c>
      <c r="DR130" s="120">
        <v>2043</v>
      </c>
    </row>
    <row r="131" spans="1:122" ht="13.5">
      <c r="A131" s="233"/>
      <c r="B131" s="233" t="s">
        <v>449</v>
      </c>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3"/>
      <c r="CD131" s="233"/>
      <c r="CE131" s="233"/>
      <c r="CF131" s="233"/>
      <c r="CG131" s="233"/>
      <c r="CH131" s="233"/>
      <c r="CI131" s="233"/>
      <c r="CJ131" s="233"/>
      <c r="CK131" s="233"/>
      <c r="CL131" s="233"/>
      <c r="CM131" s="233"/>
      <c r="CN131" s="120"/>
      <c r="CO131" s="120"/>
      <c r="CP131" s="120"/>
      <c r="CQ131" s="120"/>
      <c r="CR131" s="120"/>
      <c r="CS131" s="120"/>
      <c r="CT131" s="120"/>
      <c r="CU131" s="120"/>
      <c r="CV131" s="120"/>
      <c r="CW131" s="120"/>
      <c r="CX131" s="120"/>
      <c r="CY131" s="120"/>
      <c r="CZ131" s="120"/>
      <c r="DA131" s="120"/>
      <c r="DB131" s="120"/>
      <c r="DC131" s="120"/>
      <c r="DD131" s="120"/>
      <c r="DE131" s="120"/>
      <c r="DF131" s="120"/>
      <c r="DP131" s="120">
        <f t="shared" si="80"/>
        <v>26</v>
      </c>
      <c r="DR131" s="120">
        <v>2044</v>
      </c>
    </row>
    <row r="132" spans="1:122" ht="13.5">
      <c r="A132" s="233"/>
      <c r="B132" s="233" t="s">
        <v>521</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120"/>
      <c r="CO132" s="120"/>
      <c r="CP132" s="120"/>
      <c r="CQ132" s="120"/>
      <c r="CR132" s="120"/>
      <c r="CS132" s="120"/>
      <c r="CT132" s="120"/>
      <c r="CU132" s="120"/>
      <c r="CV132" s="120"/>
      <c r="CW132" s="120"/>
      <c r="CX132" s="120"/>
      <c r="CY132" s="120"/>
      <c r="CZ132" s="120"/>
      <c r="DA132" s="120"/>
      <c r="DB132" s="120"/>
      <c r="DC132" s="120"/>
      <c r="DD132" s="120"/>
      <c r="DE132" s="120"/>
      <c r="DF132" s="120"/>
      <c r="DP132" s="120">
        <f t="shared" si="80"/>
        <v>27</v>
      </c>
      <c r="DR132" s="120">
        <v>2045</v>
      </c>
    </row>
    <row r="133" spans="1:122" ht="13.5">
      <c r="A133" s="233"/>
      <c r="B133" s="233" t="s">
        <v>542</v>
      </c>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120"/>
      <c r="CO133" s="120"/>
      <c r="CP133" s="120"/>
      <c r="CQ133" s="120"/>
      <c r="CR133" s="120"/>
      <c r="CS133" s="120"/>
      <c r="CT133" s="120"/>
      <c r="CU133" s="120"/>
      <c r="CV133" s="120"/>
      <c r="CW133" s="120"/>
      <c r="CX133" s="120"/>
      <c r="CY133" s="120"/>
      <c r="CZ133" s="120"/>
      <c r="DA133" s="120"/>
      <c r="DB133" s="120"/>
      <c r="DC133" s="120"/>
      <c r="DD133" s="120"/>
      <c r="DE133" s="120"/>
      <c r="DF133" s="120"/>
      <c r="DP133" s="120">
        <f t="shared" si="80"/>
        <v>28</v>
      </c>
      <c r="DR133" s="120">
        <v>2046</v>
      </c>
    </row>
    <row r="134" spans="1:122" ht="13.5">
      <c r="A134" s="233"/>
      <c r="B134" s="233" t="s">
        <v>543</v>
      </c>
      <c r="C134" s="233"/>
      <c r="D134" s="233" t="s">
        <v>544</v>
      </c>
      <c r="E134" s="233"/>
      <c r="F134" s="233"/>
      <c r="G134" s="233"/>
      <c r="H134" s="233" t="s">
        <v>545</v>
      </c>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c r="BT134" s="233"/>
      <c r="BU134" s="233"/>
      <c r="BV134" s="233"/>
      <c r="BW134" s="233"/>
      <c r="BX134" s="233"/>
      <c r="BY134" s="233"/>
      <c r="BZ134" s="233"/>
      <c r="CA134" s="233"/>
      <c r="CB134" s="233"/>
      <c r="CC134" s="233"/>
      <c r="CD134" s="233"/>
      <c r="CE134" s="233"/>
      <c r="CF134" s="233"/>
      <c r="CG134" s="233"/>
      <c r="CH134" s="233"/>
      <c r="CI134" s="233"/>
      <c r="CJ134" s="233"/>
      <c r="CK134" s="233"/>
      <c r="CL134" s="233"/>
      <c r="CM134" s="233"/>
      <c r="CN134" s="120"/>
      <c r="CO134" s="120"/>
      <c r="CP134" s="120"/>
      <c r="CQ134" s="120"/>
      <c r="CR134" s="120"/>
      <c r="CS134" s="120"/>
      <c r="CT134" s="120"/>
      <c r="CU134" s="120"/>
      <c r="CV134" s="120"/>
      <c r="CW134" s="120"/>
      <c r="CX134" s="120"/>
      <c r="CY134" s="120"/>
      <c r="CZ134" s="120"/>
      <c r="DA134" s="120"/>
      <c r="DB134" s="120"/>
      <c r="DC134" s="120"/>
      <c r="DD134" s="120"/>
      <c r="DE134" s="120"/>
      <c r="DF134" s="120"/>
      <c r="DP134" s="120">
        <f t="shared" si="80"/>
        <v>29</v>
      </c>
      <c r="DR134" s="120">
        <v>2047</v>
      </c>
    </row>
    <row r="135" spans="1:122" ht="13.5">
      <c r="A135" s="233"/>
      <c r="B135" s="233" t="s">
        <v>546</v>
      </c>
      <c r="C135" s="233"/>
      <c r="D135" s="431">
        <v>20100108</v>
      </c>
      <c r="E135" s="431"/>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120"/>
      <c r="CO135" s="120"/>
      <c r="CP135" s="120"/>
      <c r="CQ135" s="120"/>
      <c r="CR135" s="120"/>
      <c r="CS135" s="120"/>
      <c r="CT135" s="120"/>
      <c r="CU135" s="120"/>
      <c r="CV135" s="120"/>
      <c r="CW135" s="120"/>
      <c r="CX135" s="120"/>
      <c r="CY135" s="120"/>
      <c r="CZ135" s="120"/>
      <c r="DA135" s="120"/>
      <c r="DB135" s="120"/>
      <c r="DC135" s="120"/>
      <c r="DD135" s="120"/>
      <c r="DE135" s="120"/>
      <c r="DF135" s="120"/>
      <c r="DP135" s="120">
        <f t="shared" si="80"/>
        <v>30</v>
      </c>
      <c r="DR135" s="120">
        <v>2048</v>
      </c>
    </row>
    <row r="136" spans="1:122" ht="13.5">
      <c r="A136" s="233"/>
      <c r="B136" s="233" t="s">
        <v>574</v>
      </c>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120"/>
      <c r="CO136" s="120"/>
      <c r="CP136" s="120"/>
      <c r="CQ136" s="120"/>
      <c r="CR136" s="120"/>
      <c r="CS136" s="120"/>
      <c r="CT136" s="120"/>
      <c r="CU136" s="120"/>
      <c r="CV136" s="120"/>
      <c r="CW136" s="120"/>
      <c r="CX136" s="120"/>
      <c r="CY136" s="120"/>
      <c r="CZ136" s="120"/>
      <c r="DA136" s="120"/>
      <c r="DB136" s="120"/>
      <c r="DC136" s="120"/>
      <c r="DD136" s="120"/>
      <c r="DE136" s="120"/>
      <c r="DF136" s="120"/>
      <c r="DP136" s="120">
        <f t="shared" si="80"/>
        <v>31</v>
      </c>
      <c r="DR136" s="120">
        <v>2049</v>
      </c>
    </row>
    <row r="137" spans="1:122" ht="13.5">
      <c r="A137" s="233"/>
      <c r="B137" s="233" t="s">
        <v>578</v>
      </c>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120"/>
      <c r="CO137" s="120"/>
      <c r="CP137" s="120"/>
      <c r="CQ137" s="120"/>
      <c r="CR137" s="120"/>
      <c r="CS137" s="120"/>
      <c r="CT137" s="120"/>
      <c r="CU137" s="120"/>
      <c r="CV137" s="120"/>
      <c r="CW137" s="120"/>
      <c r="CX137" s="120"/>
      <c r="CY137" s="120"/>
      <c r="CZ137" s="120"/>
      <c r="DA137" s="120"/>
      <c r="DB137" s="120"/>
      <c r="DC137" s="120"/>
      <c r="DD137" s="120"/>
      <c r="DE137" s="120"/>
      <c r="DF137" s="120"/>
      <c r="DP137" s="120">
        <f t="shared" si="80"/>
        <v>32</v>
      </c>
      <c r="DR137" s="120">
        <v>2050</v>
      </c>
    </row>
    <row r="138" spans="1:122" ht="13.5">
      <c r="A138" s="233"/>
      <c r="B138" s="364" t="s">
        <v>579</v>
      </c>
      <c r="C138" s="233"/>
      <c r="D138" s="233"/>
      <c r="E138" s="233"/>
      <c r="F138" s="233"/>
      <c r="G138" s="233" t="s">
        <v>580</v>
      </c>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120"/>
      <c r="CO138" s="120"/>
      <c r="CP138" s="120"/>
      <c r="CQ138" s="120"/>
      <c r="CR138" s="120"/>
      <c r="CS138" s="120"/>
      <c r="CT138" s="120"/>
      <c r="CU138" s="120"/>
      <c r="CV138" s="120"/>
      <c r="CW138" s="120"/>
      <c r="CX138" s="120"/>
      <c r="CY138" s="120"/>
      <c r="CZ138" s="120"/>
      <c r="DA138" s="120"/>
      <c r="DB138" s="120"/>
      <c r="DC138" s="120"/>
      <c r="DD138" s="120"/>
      <c r="DE138" s="120"/>
      <c r="DF138" s="120"/>
      <c r="DP138" s="120">
        <f t="shared" si="80"/>
        <v>33</v>
      </c>
      <c r="DR138" s="120">
        <v>2051</v>
      </c>
    </row>
    <row r="139" spans="1:122" ht="13.5">
      <c r="A139" s="233"/>
      <c r="B139" s="233" t="s">
        <v>581</v>
      </c>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120"/>
      <c r="CO139" s="120"/>
      <c r="CP139" s="120"/>
      <c r="CQ139" s="120"/>
      <c r="CR139" s="120"/>
      <c r="CS139" s="120"/>
      <c r="CT139" s="120"/>
      <c r="CU139" s="120"/>
      <c r="CV139" s="120"/>
      <c r="CW139" s="120"/>
      <c r="CX139" s="120"/>
      <c r="CY139" s="120"/>
      <c r="CZ139" s="120"/>
      <c r="DA139" s="120"/>
      <c r="DB139" s="120"/>
      <c r="DC139" s="120"/>
      <c r="DD139" s="120"/>
      <c r="DE139" s="120"/>
      <c r="DF139" s="120"/>
      <c r="DP139" s="120">
        <f t="shared" si="80"/>
        <v>34</v>
      </c>
      <c r="DR139" s="120">
        <v>2052</v>
      </c>
    </row>
    <row r="140" spans="1:122" ht="13.5">
      <c r="A140" s="233"/>
      <c r="B140" s="233" t="s">
        <v>582</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3"/>
      <c r="CE140" s="233"/>
      <c r="CF140" s="233"/>
      <c r="CG140" s="233"/>
      <c r="CH140" s="233"/>
      <c r="CI140" s="233"/>
      <c r="CJ140" s="233"/>
      <c r="CK140" s="233"/>
      <c r="CL140" s="233"/>
      <c r="CM140" s="233"/>
      <c r="CN140" s="120"/>
      <c r="CO140" s="120"/>
      <c r="CP140" s="120"/>
      <c r="CQ140" s="120"/>
      <c r="CR140" s="120"/>
      <c r="CS140" s="120"/>
      <c r="CT140" s="120"/>
      <c r="CU140" s="120"/>
      <c r="CV140" s="120"/>
      <c r="CW140" s="120"/>
      <c r="CX140" s="120"/>
      <c r="CY140" s="120"/>
      <c r="CZ140" s="120"/>
      <c r="DA140" s="120"/>
      <c r="DB140" s="120"/>
      <c r="DC140" s="120"/>
      <c r="DD140" s="120"/>
      <c r="DE140" s="120"/>
      <c r="DF140" s="120"/>
      <c r="DP140" s="120">
        <f t="shared" si="80"/>
        <v>35</v>
      </c>
      <c r="DR140" s="120">
        <v>2053</v>
      </c>
    </row>
    <row r="141" spans="1:122" ht="13.5">
      <c r="A141" s="233"/>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c r="BZ141" s="233"/>
      <c r="CA141" s="233"/>
      <c r="CB141" s="233"/>
      <c r="CC141" s="233"/>
      <c r="CD141" s="233"/>
      <c r="CE141" s="233"/>
      <c r="CF141" s="233"/>
      <c r="CG141" s="233"/>
      <c r="CH141" s="233"/>
      <c r="CI141" s="233"/>
      <c r="CJ141" s="233"/>
      <c r="CK141" s="233"/>
      <c r="CL141" s="233"/>
      <c r="CM141" s="233"/>
      <c r="CN141" s="120"/>
      <c r="CO141" s="120"/>
      <c r="CP141" s="120"/>
      <c r="CQ141" s="120"/>
      <c r="CR141" s="120"/>
      <c r="CS141" s="120"/>
      <c r="CT141" s="120"/>
      <c r="CU141" s="120"/>
      <c r="CV141" s="120"/>
      <c r="CW141" s="120"/>
      <c r="CX141" s="120"/>
      <c r="CY141" s="120"/>
      <c r="CZ141" s="120"/>
      <c r="DA141" s="120"/>
      <c r="DB141" s="120"/>
      <c r="DC141" s="120"/>
      <c r="DD141" s="120"/>
      <c r="DE141" s="120"/>
      <c r="DF141" s="120"/>
      <c r="DP141" s="120">
        <f>DP140+1</f>
        <v>36</v>
      </c>
      <c r="DR141" s="120">
        <v>2054</v>
      </c>
    </row>
    <row r="142" spans="1:122" ht="13.5">
      <c r="A142" s="233"/>
      <c r="B142" s="233"/>
      <c r="C142" s="233"/>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c r="CF142" s="233"/>
      <c r="CG142" s="233"/>
      <c r="CH142" s="233"/>
      <c r="CI142" s="233"/>
      <c r="CJ142" s="233"/>
      <c r="CK142" s="233"/>
      <c r="CL142" s="233"/>
      <c r="CM142" s="233"/>
      <c r="CN142" s="120"/>
      <c r="CO142" s="120"/>
      <c r="CP142" s="120"/>
      <c r="CQ142" s="120"/>
      <c r="CR142" s="120"/>
      <c r="CS142" s="120"/>
      <c r="CT142" s="120"/>
      <c r="CU142" s="120"/>
      <c r="CV142" s="120"/>
      <c r="CW142" s="120"/>
      <c r="CX142" s="120"/>
      <c r="CY142" s="120"/>
      <c r="CZ142" s="120"/>
      <c r="DA142" s="120"/>
      <c r="DB142" s="120"/>
      <c r="DC142" s="120"/>
      <c r="DD142" s="120"/>
      <c r="DE142" s="120"/>
      <c r="DF142" s="120"/>
      <c r="DP142" s="120">
        <f t="shared" si="80"/>
        <v>37</v>
      </c>
      <c r="DR142" s="120">
        <v>2055</v>
      </c>
    </row>
    <row r="143" spans="1:122" ht="13.5">
      <c r="A143" s="233"/>
      <c r="B143" s="233" t="s">
        <v>562</v>
      </c>
      <c r="C143" s="233"/>
      <c r="D143" s="233"/>
      <c r="E143" s="233"/>
      <c r="F143" s="233"/>
      <c r="G143" s="233"/>
      <c r="H143" s="233"/>
      <c r="I143" s="233"/>
      <c r="J143" s="233"/>
      <c r="K143" s="233"/>
      <c r="L143" s="233"/>
      <c r="M143" s="233"/>
      <c r="N143" s="233"/>
      <c r="O143" s="233" t="s">
        <v>566</v>
      </c>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c r="CF143" s="233"/>
      <c r="CG143" s="233"/>
      <c r="CH143" s="233"/>
      <c r="CI143" s="233"/>
      <c r="CJ143" s="233"/>
      <c r="CK143" s="233"/>
      <c r="CL143" s="233"/>
      <c r="CM143" s="233"/>
      <c r="CN143" s="120"/>
      <c r="CO143" s="120"/>
      <c r="CP143" s="120"/>
      <c r="CQ143" s="120"/>
      <c r="CR143" s="120"/>
      <c r="CS143" s="120"/>
      <c r="CT143" s="120"/>
      <c r="CU143" s="120"/>
      <c r="CV143" s="120"/>
      <c r="CW143" s="120"/>
      <c r="CX143" s="120"/>
      <c r="CY143" s="120"/>
      <c r="CZ143" s="120"/>
      <c r="DA143" s="120"/>
      <c r="DB143" s="120"/>
      <c r="DC143" s="120"/>
      <c r="DD143" s="120"/>
      <c r="DE143" s="120"/>
      <c r="DF143" s="120"/>
      <c r="DP143" s="120">
        <f t="shared" si="80"/>
        <v>38</v>
      </c>
      <c r="DR143" s="120">
        <v>2056</v>
      </c>
    </row>
    <row r="144" spans="1:122" ht="13.5">
      <c r="A144" s="233"/>
      <c r="B144" s="238" t="s">
        <v>77</v>
      </c>
      <c r="C144" s="484" t="s">
        <v>548</v>
      </c>
      <c r="D144" s="485"/>
      <c r="E144" s="484" t="s">
        <v>549</v>
      </c>
      <c r="F144" s="485"/>
      <c r="G144" s="238" t="s">
        <v>553</v>
      </c>
      <c r="H144" s="484" t="s">
        <v>550</v>
      </c>
      <c r="I144" s="485"/>
      <c r="J144" s="484" t="s">
        <v>551</v>
      </c>
      <c r="K144" s="485"/>
      <c r="L144" s="238"/>
      <c r="M144" s="238" t="s">
        <v>552</v>
      </c>
      <c r="N144" s="238"/>
      <c r="O144" s="233" t="s">
        <v>563</v>
      </c>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3"/>
      <c r="BY144" s="233"/>
      <c r="BZ144" s="233"/>
      <c r="CA144" s="233"/>
      <c r="CB144" s="233"/>
      <c r="CC144" s="233"/>
      <c r="CD144" s="233"/>
      <c r="CE144" s="233"/>
      <c r="CF144" s="233"/>
      <c r="CG144" s="233"/>
      <c r="CH144" s="233"/>
      <c r="CI144" s="233"/>
      <c r="CJ144" s="233"/>
      <c r="CK144" s="233"/>
      <c r="CL144" s="233"/>
      <c r="CM144" s="233"/>
      <c r="CN144" s="120"/>
      <c r="CO144" s="120"/>
      <c r="CP144" s="120"/>
      <c r="CQ144" s="120"/>
      <c r="CR144" s="120"/>
      <c r="CS144" s="120"/>
      <c r="CT144" s="120"/>
      <c r="CU144" s="120"/>
      <c r="CV144" s="120"/>
      <c r="CW144" s="120"/>
      <c r="CX144" s="120"/>
      <c r="CY144" s="120"/>
      <c r="CZ144" s="120"/>
      <c r="DA144" s="120"/>
      <c r="DB144" s="120"/>
      <c r="DC144" s="120"/>
      <c r="DD144" s="120"/>
      <c r="DE144" s="120"/>
      <c r="DF144" s="120"/>
      <c r="DP144" s="120">
        <f t="shared" si="80"/>
        <v>39</v>
      </c>
      <c r="DR144" s="120">
        <v>2057</v>
      </c>
    </row>
    <row r="145" spans="1:122" ht="13.5">
      <c r="A145" s="233"/>
      <c r="B145" s="238" t="s">
        <v>547</v>
      </c>
      <c r="C145" s="486">
        <v>281250</v>
      </c>
      <c r="D145" s="487"/>
      <c r="E145" s="486">
        <v>429000</v>
      </c>
      <c r="F145" s="487"/>
      <c r="G145" s="361">
        <v>429000</v>
      </c>
      <c r="H145" s="486"/>
      <c r="I145" s="487"/>
      <c r="J145" s="486">
        <v>429000</v>
      </c>
      <c r="K145" s="487"/>
      <c r="L145" s="361"/>
      <c r="M145" s="361">
        <v>144749</v>
      </c>
      <c r="N145" s="361"/>
      <c r="O145" s="233" t="s">
        <v>564</v>
      </c>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233"/>
      <c r="BP145" s="233"/>
      <c r="BQ145" s="233"/>
      <c r="BR145" s="233"/>
      <c r="BS145" s="233"/>
      <c r="BT145" s="233"/>
      <c r="BU145" s="233"/>
      <c r="BV145" s="233"/>
      <c r="BW145" s="233"/>
      <c r="BX145" s="233"/>
      <c r="BY145" s="233"/>
      <c r="BZ145" s="233"/>
      <c r="CA145" s="233"/>
      <c r="CB145" s="233"/>
      <c r="CC145" s="233"/>
      <c r="CD145" s="233"/>
      <c r="CE145" s="233"/>
      <c r="CF145" s="233"/>
      <c r="CG145" s="233"/>
      <c r="CH145" s="233"/>
      <c r="CI145" s="233"/>
      <c r="CJ145" s="233"/>
      <c r="CK145" s="233"/>
      <c r="CL145" s="233"/>
      <c r="CM145" s="233"/>
      <c r="CN145" s="120"/>
      <c r="CO145" s="120"/>
      <c r="CP145" s="120"/>
      <c r="CQ145" s="120"/>
      <c r="CR145" s="120"/>
      <c r="CS145" s="120"/>
      <c r="CT145" s="120"/>
      <c r="CU145" s="120"/>
      <c r="CV145" s="120"/>
      <c r="CW145" s="120"/>
      <c r="CX145" s="120"/>
      <c r="CY145" s="120"/>
      <c r="CZ145" s="120"/>
      <c r="DA145" s="120"/>
      <c r="DB145" s="120"/>
      <c r="DC145" s="120"/>
      <c r="DD145" s="120"/>
      <c r="DE145" s="120"/>
      <c r="DF145" s="120"/>
      <c r="DP145" s="120">
        <f t="shared" si="80"/>
        <v>40</v>
      </c>
      <c r="DR145" s="120">
        <v>2058</v>
      </c>
    </row>
    <row r="146" spans="1:122" ht="13.5">
      <c r="A146" s="233"/>
      <c r="B146" s="238" t="s">
        <v>389</v>
      </c>
      <c r="C146" s="486">
        <v>2718750</v>
      </c>
      <c r="D146" s="487"/>
      <c r="E146" s="486">
        <v>2289750</v>
      </c>
      <c r="F146" s="487"/>
      <c r="G146" s="361">
        <v>1860750</v>
      </c>
      <c r="H146" s="486"/>
      <c r="I146" s="487"/>
      <c r="J146" s="486">
        <v>144750</v>
      </c>
      <c r="K146" s="487"/>
      <c r="L146" s="361"/>
      <c r="M146" s="361">
        <v>1</v>
      </c>
      <c r="N146" s="361"/>
      <c r="O146" s="233" t="s">
        <v>565</v>
      </c>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c r="BZ146" s="233"/>
      <c r="CA146" s="233"/>
      <c r="CB146" s="233"/>
      <c r="CC146" s="233"/>
      <c r="CD146" s="233"/>
      <c r="CE146" s="233"/>
      <c r="CF146" s="233"/>
      <c r="CG146" s="233"/>
      <c r="CH146" s="233"/>
      <c r="CI146" s="233"/>
      <c r="CJ146" s="233"/>
      <c r="CK146" s="233"/>
      <c r="CL146" s="233"/>
      <c r="CM146" s="233"/>
      <c r="CN146" s="120"/>
      <c r="CO146" s="120"/>
      <c r="CP146" s="120"/>
      <c r="CQ146" s="120"/>
      <c r="CR146" s="120"/>
      <c r="CS146" s="120"/>
      <c r="CT146" s="120"/>
      <c r="CU146" s="120"/>
      <c r="CV146" s="120"/>
      <c r="CW146" s="120"/>
      <c r="CX146" s="120"/>
      <c r="CY146" s="120"/>
      <c r="CZ146" s="120"/>
      <c r="DA146" s="120"/>
      <c r="DB146" s="120"/>
      <c r="DC146" s="120"/>
      <c r="DD146" s="120"/>
      <c r="DE146" s="120"/>
      <c r="DF146" s="120"/>
      <c r="DP146" s="120">
        <f t="shared" si="80"/>
        <v>41</v>
      </c>
      <c r="DR146" s="120">
        <v>2059</v>
      </c>
    </row>
    <row r="147" spans="1:122" ht="13.5">
      <c r="A147" s="233"/>
      <c r="B147" s="238" t="s">
        <v>202</v>
      </c>
      <c r="C147" s="488">
        <v>0.125</v>
      </c>
      <c r="D147" s="489"/>
      <c r="E147" s="488">
        <v>0.143</v>
      </c>
      <c r="F147" s="489"/>
      <c r="G147" s="390">
        <v>0.143</v>
      </c>
      <c r="H147" s="484" t="s">
        <v>550</v>
      </c>
      <c r="I147" s="485"/>
      <c r="J147" s="488">
        <v>0.143</v>
      </c>
      <c r="K147" s="489"/>
      <c r="L147" s="362">
        <v>0.143</v>
      </c>
      <c r="M147" s="362"/>
      <c r="N147" s="362"/>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c r="CF147" s="233"/>
      <c r="CG147" s="233"/>
      <c r="CH147" s="233"/>
      <c r="CI147" s="233"/>
      <c r="CJ147" s="233"/>
      <c r="CK147" s="233"/>
      <c r="CL147" s="233"/>
      <c r="CM147" s="233"/>
      <c r="CN147" s="120"/>
      <c r="CO147" s="120"/>
      <c r="CP147" s="120"/>
      <c r="CQ147" s="120"/>
      <c r="CR147" s="120"/>
      <c r="CS147" s="120"/>
      <c r="CT147" s="120"/>
      <c r="CU147" s="120"/>
      <c r="CV147" s="120"/>
      <c r="CW147" s="120"/>
      <c r="CX147" s="120"/>
      <c r="CY147" s="120"/>
      <c r="CZ147" s="120"/>
      <c r="DA147" s="120"/>
      <c r="DB147" s="120"/>
      <c r="DC147" s="120"/>
      <c r="DD147" s="120"/>
      <c r="DE147" s="120"/>
      <c r="DF147" s="120"/>
      <c r="DP147" s="120">
        <f t="shared" si="80"/>
        <v>42</v>
      </c>
      <c r="DR147" s="120">
        <v>2060</v>
      </c>
    </row>
    <row r="148" spans="1:122" ht="13.5">
      <c r="A148" s="233"/>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120"/>
      <c r="CO148" s="120"/>
      <c r="CP148" s="120"/>
      <c r="CQ148" s="120"/>
      <c r="CR148" s="120"/>
      <c r="CS148" s="120"/>
      <c r="CT148" s="120"/>
      <c r="CU148" s="120"/>
      <c r="CV148" s="120"/>
      <c r="CW148" s="120"/>
      <c r="CX148" s="120"/>
      <c r="CY148" s="120"/>
      <c r="CZ148" s="120"/>
      <c r="DA148" s="120"/>
      <c r="DB148" s="120"/>
      <c r="DC148" s="120"/>
      <c r="DD148" s="120"/>
      <c r="DE148" s="120"/>
      <c r="DF148" s="120"/>
      <c r="DP148" s="120">
        <f t="shared" si="80"/>
        <v>43</v>
      </c>
      <c r="DR148" s="120">
        <v>2061</v>
      </c>
    </row>
    <row r="149" spans="1:122" ht="13.5">
      <c r="A149" s="233"/>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120"/>
      <c r="CO149" s="120"/>
      <c r="CP149" s="120"/>
      <c r="CQ149" s="120"/>
      <c r="CR149" s="120"/>
      <c r="CS149" s="120"/>
      <c r="CT149" s="120"/>
      <c r="CU149" s="120"/>
      <c r="CV149" s="120"/>
      <c r="CW149" s="120"/>
      <c r="CX149" s="120"/>
      <c r="CY149" s="120"/>
      <c r="CZ149" s="120"/>
      <c r="DA149" s="120"/>
      <c r="DB149" s="120"/>
      <c r="DC149" s="120"/>
      <c r="DD149" s="120"/>
      <c r="DE149" s="120"/>
      <c r="DF149" s="120"/>
      <c r="DP149" s="120">
        <f t="shared" si="80"/>
        <v>44</v>
      </c>
      <c r="DR149" s="120">
        <v>2062</v>
      </c>
    </row>
    <row r="150" spans="1:122" ht="13.5">
      <c r="A150" s="233"/>
      <c r="B150" s="233" t="s">
        <v>576</v>
      </c>
      <c r="C150" s="233"/>
      <c r="D150" s="233"/>
      <c r="E150" s="233"/>
      <c r="F150" s="233"/>
      <c r="G150" s="233"/>
      <c r="H150" s="233"/>
      <c r="I150" s="233"/>
      <c r="J150" s="233"/>
      <c r="K150" s="233"/>
      <c r="L150" s="233"/>
      <c r="M150" s="233"/>
      <c r="N150" s="233"/>
      <c r="O150" s="233" t="s">
        <v>567</v>
      </c>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120"/>
      <c r="CO150" s="120"/>
      <c r="CP150" s="120"/>
      <c r="CQ150" s="120"/>
      <c r="CR150" s="120"/>
      <c r="CS150" s="120"/>
      <c r="CT150" s="120"/>
      <c r="CU150" s="120"/>
      <c r="CV150" s="120"/>
      <c r="CW150" s="120"/>
      <c r="CX150" s="120"/>
      <c r="CY150" s="120"/>
      <c r="CZ150" s="120"/>
      <c r="DA150" s="120"/>
      <c r="DB150" s="120"/>
      <c r="DC150" s="120"/>
      <c r="DD150" s="120"/>
      <c r="DE150" s="120"/>
      <c r="DF150" s="120"/>
      <c r="DP150" s="120">
        <f t="shared" si="80"/>
        <v>45</v>
      </c>
      <c r="DR150" s="120">
        <v>2063</v>
      </c>
    </row>
    <row r="151" spans="1:122" ht="13.5">
      <c r="A151" s="233"/>
      <c r="B151" s="238" t="s">
        <v>77</v>
      </c>
      <c r="C151" s="484" t="s">
        <v>554</v>
      </c>
      <c r="D151" s="485"/>
      <c r="E151" s="484" t="s">
        <v>548</v>
      </c>
      <c r="F151" s="485"/>
      <c r="G151" s="238" t="s">
        <v>555</v>
      </c>
      <c r="H151" s="484" t="s">
        <v>558</v>
      </c>
      <c r="I151" s="485"/>
      <c r="J151" s="484" t="s">
        <v>551</v>
      </c>
      <c r="K151" s="485"/>
      <c r="L151" s="238"/>
      <c r="M151" s="238" t="s">
        <v>560</v>
      </c>
      <c r="N151" s="238" t="s">
        <v>561</v>
      </c>
      <c r="O151" s="233" t="s">
        <v>568</v>
      </c>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33"/>
      <c r="BD151" s="233"/>
      <c r="BE151" s="233"/>
      <c r="BF151" s="233"/>
      <c r="BG151" s="233"/>
      <c r="BH151" s="233"/>
      <c r="BI151" s="233"/>
      <c r="BJ151" s="233"/>
      <c r="BK151" s="233"/>
      <c r="BL151" s="233"/>
      <c r="BM151" s="233"/>
      <c r="BN151" s="233"/>
      <c r="BO151" s="233"/>
      <c r="BP151" s="233"/>
      <c r="BQ151" s="233"/>
      <c r="BR151" s="233"/>
      <c r="BS151" s="233"/>
      <c r="BT151" s="233"/>
      <c r="BU151" s="233"/>
      <c r="BV151" s="233"/>
      <c r="BW151" s="233"/>
      <c r="BX151" s="233"/>
      <c r="BY151" s="233"/>
      <c r="BZ151" s="233"/>
      <c r="CA151" s="233"/>
      <c r="CB151" s="233"/>
      <c r="CC151" s="233"/>
      <c r="CD151" s="233"/>
      <c r="CE151" s="233"/>
      <c r="CF151" s="233"/>
      <c r="CG151" s="233"/>
      <c r="CH151" s="233"/>
      <c r="CI151" s="233"/>
      <c r="CJ151" s="233"/>
      <c r="CK151" s="233"/>
      <c r="CL151" s="233"/>
      <c r="CM151" s="233"/>
      <c r="CN151" s="120"/>
      <c r="CO151" s="120"/>
      <c r="CP151" s="120"/>
      <c r="CQ151" s="120"/>
      <c r="CR151" s="120"/>
      <c r="CS151" s="120"/>
      <c r="CT151" s="120"/>
      <c r="CU151" s="120"/>
      <c r="CV151" s="120"/>
      <c r="CW151" s="120"/>
      <c r="CX151" s="120"/>
      <c r="CY151" s="120"/>
      <c r="CZ151" s="120"/>
      <c r="DA151" s="120"/>
      <c r="DB151" s="120"/>
      <c r="DC151" s="120"/>
      <c r="DD151" s="120"/>
      <c r="DE151" s="120"/>
      <c r="DF151" s="120"/>
      <c r="DP151" s="120">
        <f t="shared" si="80"/>
        <v>46</v>
      </c>
      <c r="DR151" s="120">
        <v>2064</v>
      </c>
    </row>
    <row r="152" spans="1:122" ht="13.5">
      <c r="A152" s="233"/>
      <c r="B152" s="238" t="s">
        <v>547</v>
      </c>
      <c r="C152" s="486">
        <v>281250</v>
      </c>
      <c r="D152" s="487"/>
      <c r="E152" s="486">
        <v>337500</v>
      </c>
      <c r="F152" s="487"/>
      <c r="G152" s="361" t="s">
        <v>556</v>
      </c>
      <c r="H152" s="486">
        <v>383400</v>
      </c>
      <c r="I152" s="487"/>
      <c r="J152" s="486">
        <v>314250</v>
      </c>
      <c r="K152" s="487"/>
      <c r="L152" s="361"/>
      <c r="M152" s="361">
        <v>30000</v>
      </c>
      <c r="N152" s="361">
        <v>29999</v>
      </c>
      <c r="O152" s="233" t="s">
        <v>569</v>
      </c>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3"/>
      <c r="BX152" s="233"/>
      <c r="BY152" s="233"/>
      <c r="BZ152" s="233"/>
      <c r="CA152" s="233"/>
      <c r="CB152" s="233"/>
      <c r="CC152" s="233"/>
      <c r="CD152" s="233"/>
      <c r="CE152" s="233"/>
      <c r="CF152" s="233"/>
      <c r="CG152" s="233"/>
      <c r="CH152" s="233"/>
      <c r="CI152" s="233"/>
      <c r="CJ152" s="233"/>
      <c r="CK152" s="233"/>
      <c r="CL152" s="233"/>
      <c r="CM152" s="233"/>
      <c r="CN152" s="120"/>
      <c r="CO152" s="120"/>
      <c r="CP152" s="120"/>
      <c r="CQ152" s="120"/>
      <c r="CR152" s="120"/>
      <c r="CS152" s="120"/>
      <c r="CT152" s="120"/>
      <c r="CU152" s="120"/>
      <c r="CV152" s="120"/>
      <c r="CW152" s="120"/>
      <c r="CX152" s="120"/>
      <c r="CY152" s="120"/>
      <c r="CZ152" s="120"/>
      <c r="DA152" s="120"/>
      <c r="DB152" s="120"/>
      <c r="DC152" s="120"/>
      <c r="DD152" s="120"/>
      <c r="DE152" s="120"/>
      <c r="DF152" s="120"/>
      <c r="DP152" s="120">
        <f t="shared" si="80"/>
        <v>47</v>
      </c>
      <c r="DR152" s="120">
        <v>2065</v>
      </c>
    </row>
    <row r="153" spans="1:122" ht="13.5">
      <c r="A153" s="233"/>
      <c r="B153" s="238" t="s">
        <v>389</v>
      </c>
      <c r="C153" s="486">
        <v>2718750</v>
      </c>
      <c r="D153" s="487"/>
      <c r="E153" s="486">
        <v>2831250</v>
      </c>
      <c r="F153" s="487"/>
      <c r="G153" s="361" t="s">
        <v>556</v>
      </c>
      <c r="H153" s="486">
        <v>464250</v>
      </c>
      <c r="I153" s="487"/>
      <c r="J153" s="486">
        <v>150000</v>
      </c>
      <c r="K153" s="487"/>
      <c r="L153" s="361"/>
      <c r="M153" s="361">
        <v>120000</v>
      </c>
      <c r="N153" s="361">
        <v>1</v>
      </c>
      <c r="O153" s="233" t="s">
        <v>570</v>
      </c>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233"/>
      <c r="BT153" s="233"/>
      <c r="BU153" s="233"/>
      <c r="BV153" s="233"/>
      <c r="BW153" s="233"/>
      <c r="BX153" s="233"/>
      <c r="BY153" s="233"/>
      <c r="BZ153" s="233"/>
      <c r="CA153" s="233"/>
      <c r="CB153" s="233"/>
      <c r="CC153" s="233"/>
      <c r="CD153" s="233"/>
      <c r="CE153" s="233"/>
      <c r="CF153" s="233"/>
      <c r="CG153" s="233"/>
      <c r="CH153" s="233"/>
      <c r="CI153" s="233"/>
      <c r="CJ153" s="233"/>
      <c r="CK153" s="233"/>
      <c r="CL153" s="233"/>
      <c r="CM153" s="233"/>
      <c r="CN153" s="120"/>
      <c r="CO153" s="120"/>
      <c r="CP153" s="120"/>
      <c r="CQ153" s="120"/>
      <c r="CR153" s="120"/>
      <c r="CS153" s="120"/>
      <c r="CT153" s="120"/>
      <c r="CU153" s="120"/>
      <c r="CV153" s="120"/>
      <c r="CW153" s="120"/>
      <c r="CX153" s="120"/>
      <c r="CY153" s="120"/>
      <c r="CZ153" s="120"/>
      <c r="DA153" s="120"/>
      <c r="DB153" s="120"/>
      <c r="DC153" s="120"/>
      <c r="DD153" s="120"/>
      <c r="DE153" s="120"/>
      <c r="DF153" s="120"/>
      <c r="DP153" s="120">
        <f t="shared" si="80"/>
        <v>48</v>
      </c>
      <c r="DR153" s="120">
        <v>2066</v>
      </c>
    </row>
    <row r="154" spans="1:122" ht="13.5">
      <c r="A154" s="233"/>
      <c r="B154" s="238" t="s">
        <v>202</v>
      </c>
      <c r="C154" s="488">
        <v>0.125</v>
      </c>
      <c r="D154" s="489"/>
      <c r="E154" s="488">
        <v>0.125</v>
      </c>
      <c r="F154" s="489"/>
      <c r="G154" s="390">
        <v>0.142</v>
      </c>
      <c r="H154" s="484">
        <v>0.142</v>
      </c>
      <c r="I154" s="485"/>
      <c r="J154" s="488"/>
      <c r="K154" s="489"/>
      <c r="L154" s="362">
        <v>0.143</v>
      </c>
      <c r="M154" s="362"/>
      <c r="N154" s="362"/>
      <c r="O154" s="233" t="s">
        <v>571</v>
      </c>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3"/>
      <c r="BW154" s="233"/>
      <c r="BX154" s="233"/>
      <c r="BY154" s="233"/>
      <c r="BZ154" s="233"/>
      <c r="CA154" s="233"/>
      <c r="CB154" s="233"/>
      <c r="CC154" s="233"/>
      <c r="CD154" s="233"/>
      <c r="CE154" s="233"/>
      <c r="CF154" s="233"/>
      <c r="CG154" s="233"/>
      <c r="CH154" s="233"/>
      <c r="CI154" s="233"/>
      <c r="CJ154" s="233"/>
      <c r="CK154" s="233"/>
      <c r="CL154" s="233"/>
      <c r="CM154" s="233"/>
      <c r="CN154" s="120"/>
      <c r="CO154" s="120"/>
      <c r="CP154" s="120"/>
      <c r="CQ154" s="120"/>
      <c r="CR154" s="120"/>
      <c r="CS154" s="120"/>
      <c r="CT154" s="120"/>
      <c r="CU154" s="120"/>
      <c r="CV154" s="120"/>
      <c r="CW154" s="120"/>
      <c r="CX154" s="120"/>
      <c r="CY154" s="120"/>
      <c r="CZ154" s="120"/>
      <c r="DA154" s="120"/>
      <c r="DB154" s="120"/>
      <c r="DC154" s="120"/>
      <c r="DD154" s="120"/>
      <c r="DE154" s="120"/>
      <c r="DF154" s="120"/>
      <c r="DP154" s="120">
        <f t="shared" si="80"/>
        <v>49</v>
      </c>
      <c r="DR154" s="120">
        <v>2067</v>
      </c>
    </row>
    <row r="155" spans="1:122" ht="13.5">
      <c r="A155" s="233"/>
      <c r="B155" s="233"/>
      <c r="C155" s="233"/>
      <c r="D155" s="233"/>
      <c r="E155" s="233"/>
      <c r="F155" s="233"/>
      <c r="G155" s="233" t="s">
        <v>557</v>
      </c>
      <c r="H155" s="233"/>
      <c r="I155" s="233"/>
      <c r="J155" s="233" t="s">
        <v>559</v>
      </c>
      <c r="K155" s="233"/>
      <c r="L155" s="233"/>
      <c r="M155" s="233"/>
      <c r="N155" s="233"/>
      <c r="O155" s="233" t="s">
        <v>572</v>
      </c>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c r="CF155" s="233"/>
      <c r="CG155" s="233"/>
      <c r="CH155" s="233"/>
      <c r="CI155" s="233"/>
      <c r="CJ155" s="233"/>
      <c r="CK155" s="233"/>
      <c r="CL155" s="233"/>
      <c r="CM155" s="233"/>
      <c r="CN155" s="120"/>
      <c r="CO155" s="120"/>
      <c r="CP155" s="120"/>
      <c r="CQ155" s="120"/>
      <c r="CR155" s="120"/>
      <c r="CS155" s="120"/>
      <c r="CT155" s="120"/>
      <c r="CU155" s="120"/>
      <c r="CV155" s="120"/>
      <c r="CW155" s="120"/>
      <c r="CX155" s="120"/>
      <c r="CY155" s="120"/>
      <c r="CZ155" s="120"/>
      <c r="DA155" s="120"/>
      <c r="DB155" s="120"/>
      <c r="DC155" s="120"/>
      <c r="DD155" s="120"/>
      <c r="DE155" s="120"/>
      <c r="DF155" s="120"/>
      <c r="DP155" s="120">
        <f t="shared" si="80"/>
        <v>50</v>
      </c>
      <c r="DR155" s="120">
        <v>2068</v>
      </c>
    </row>
    <row r="156" spans="1:122" ht="13.5">
      <c r="A156" s="233"/>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c r="CF156" s="233"/>
      <c r="CG156" s="233"/>
      <c r="CH156" s="233"/>
      <c r="CI156" s="233"/>
      <c r="CJ156" s="233"/>
      <c r="CK156" s="233"/>
      <c r="CL156" s="233"/>
      <c r="CM156" s="233"/>
      <c r="CN156" s="120"/>
      <c r="CO156" s="120"/>
      <c r="CP156" s="120"/>
      <c r="CQ156" s="120"/>
      <c r="CR156" s="120"/>
      <c r="CS156" s="120"/>
      <c r="CT156" s="120"/>
      <c r="CU156" s="120"/>
      <c r="CV156" s="120"/>
      <c r="CW156" s="120"/>
      <c r="CX156" s="120"/>
      <c r="CY156" s="120"/>
      <c r="CZ156" s="120"/>
      <c r="DA156" s="120"/>
      <c r="DB156" s="120"/>
      <c r="DC156" s="120"/>
      <c r="DD156" s="120"/>
      <c r="DE156" s="120"/>
      <c r="DF156" s="120"/>
      <c r="DP156" s="120">
        <f t="shared" si="80"/>
        <v>51</v>
      </c>
      <c r="DR156" s="120">
        <v>2069</v>
      </c>
    </row>
    <row r="157" spans="1:122" ht="13.5">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3"/>
      <c r="CC157" s="233"/>
      <c r="CD157" s="233"/>
      <c r="CE157" s="233"/>
      <c r="CF157" s="233"/>
      <c r="CG157" s="233"/>
      <c r="CH157" s="233"/>
      <c r="CI157" s="233"/>
      <c r="CJ157" s="233"/>
      <c r="CK157" s="233"/>
      <c r="CL157" s="233"/>
      <c r="CM157" s="233"/>
      <c r="CN157" s="120"/>
      <c r="CO157" s="120"/>
      <c r="CP157" s="120"/>
      <c r="CQ157" s="120"/>
      <c r="CR157" s="120"/>
      <c r="CS157" s="120"/>
      <c r="CT157" s="120"/>
      <c r="CU157" s="120"/>
      <c r="CV157" s="120"/>
      <c r="CW157" s="120"/>
      <c r="CX157" s="120"/>
      <c r="CY157" s="120"/>
      <c r="CZ157" s="120"/>
      <c r="DA157" s="120"/>
      <c r="DB157" s="120"/>
      <c r="DC157" s="120"/>
      <c r="DD157" s="120"/>
      <c r="DE157" s="120"/>
      <c r="DF157" s="120"/>
      <c r="DP157" s="120">
        <f t="shared" si="80"/>
        <v>52</v>
      </c>
      <c r="DR157" s="120">
        <v>2070</v>
      </c>
    </row>
    <row r="158" spans="1:122" ht="13.5">
      <c r="A158" s="233"/>
      <c r="B158" s="233" t="s">
        <v>585</v>
      </c>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c r="CF158" s="233"/>
      <c r="CG158" s="233"/>
      <c r="CH158" s="233"/>
      <c r="CI158" s="233"/>
      <c r="CJ158" s="233"/>
      <c r="CK158" s="233"/>
      <c r="CL158" s="233"/>
      <c r="CM158" s="233"/>
      <c r="CN158" s="120"/>
      <c r="CO158" s="120"/>
      <c r="CP158" s="120"/>
      <c r="CQ158" s="120"/>
      <c r="CR158" s="120"/>
      <c r="CS158" s="120"/>
      <c r="CT158" s="120"/>
      <c r="CU158" s="120"/>
      <c r="CV158" s="120"/>
      <c r="CW158" s="120"/>
      <c r="CX158" s="120"/>
      <c r="CY158" s="120"/>
      <c r="CZ158" s="120"/>
      <c r="DA158" s="120"/>
      <c r="DB158" s="120"/>
      <c r="DC158" s="120"/>
      <c r="DD158" s="120"/>
      <c r="DE158" s="120"/>
      <c r="DF158" s="120"/>
      <c r="DP158" s="120">
        <f t="shared" si="80"/>
        <v>53</v>
      </c>
      <c r="DR158" s="120">
        <v>2071</v>
      </c>
    </row>
    <row r="159" spans="1:122" ht="13.5">
      <c r="A159" s="233"/>
      <c r="B159" s="389" t="s">
        <v>586</v>
      </c>
      <c r="C159" s="389"/>
      <c r="D159" s="389" t="s">
        <v>588</v>
      </c>
      <c r="E159" s="389"/>
      <c r="F159" s="389"/>
      <c r="G159" s="389"/>
      <c r="H159" s="389"/>
      <c r="I159" s="389"/>
      <c r="J159" s="233"/>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120"/>
      <c r="CO159" s="120"/>
      <c r="CP159" s="120"/>
      <c r="CQ159" s="120"/>
      <c r="CR159" s="120"/>
      <c r="CS159" s="120"/>
      <c r="CT159" s="120"/>
      <c r="CU159" s="120"/>
      <c r="CV159" s="120"/>
      <c r="CW159" s="120"/>
      <c r="CX159" s="120"/>
      <c r="CY159" s="120"/>
      <c r="CZ159" s="120"/>
      <c r="DA159" s="120"/>
      <c r="DB159" s="120"/>
      <c r="DC159" s="120"/>
      <c r="DD159" s="120"/>
      <c r="DE159" s="120"/>
      <c r="DF159" s="120"/>
      <c r="DP159" s="120">
        <f t="shared" si="80"/>
        <v>54</v>
      </c>
      <c r="DR159" s="120">
        <v>2072</v>
      </c>
    </row>
    <row r="160" spans="1:122" ht="13.5">
      <c r="A160" s="233"/>
      <c r="B160" s="389" t="s">
        <v>587</v>
      </c>
      <c r="C160" s="389"/>
      <c r="D160" s="389" t="s">
        <v>589</v>
      </c>
      <c r="E160" s="389"/>
      <c r="F160" s="389"/>
      <c r="G160" s="389"/>
      <c r="H160" s="389"/>
      <c r="I160" s="389"/>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120"/>
      <c r="CO160" s="120"/>
      <c r="CP160" s="120"/>
      <c r="CQ160" s="120"/>
      <c r="CR160" s="120"/>
      <c r="CS160" s="120"/>
      <c r="CT160" s="120"/>
      <c r="CU160" s="120"/>
      <c r="CV160" s="120"/>
      <c r="CW160" s="120"/>
      <c r="CX160" s="120"/>
      <c r="CY160" s="120"/>
      <c r="CZ160" s="120"/>
      <c r="DA160" s="120"/>
      <c r="DB160" s="120"/>
      <c r="DC160" s="120"/>
      <c r="DD160" s="120"/>
      <c r="DE160" s="120"/>
      <c r="DF160" s="120"/>
      <c r="DP160" s="120">
        <f t="shared" si="80"/>
        <v>55</v>
      </c>
      <c r="DR160" s="120">
        <v>2073</v>
      </c>
    </row>
    <row r="161" spans="1:122" ht="13.5">
      <c r="A161" s="233"/>
      <c r="B161" s="389" t="s">
        <v>590</v>
      </c>
      <c r="C161" s="389"/>
      <c r="D161" s="389" t="s">
        <v>591</v>
      </c>
      <c r="E161" s="389"/>
      <c r="F161" s="389"/>
      <c r="G161" s="389"/>
      <c r="H161" s="389"/>
      <c r="I161" s="389"/>
      <c r="J161" s="233"/>
      <c r="K161" s="233"/>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120"/>
      <c r="CO161" s="120"/>
      <c r="CP161" s="120"/>
      <c r="CQ161" s="120"/>
      <c r="CR161" s="120"/>
      <c r="CS161" s="120"/>
      <c r="CT161" s="120"/>
      <c r="CU161" s="120"/>
      <c r="CV161" s="120"/>
      <c r="CW161" s="120"/>
      <c r="CX161" s="120"/>
      <c r="CY161" s="120"/>
      <c r="CZ161" s="120"/>
      <c r="DA161" s="120"/>
      <c r="DB161" s="120"/>
      <c r="DC161" s="120"/>
      <c r="DD161" s="120"/>
      <c r="DE161" s="120"/>
      <c r="DF161" s="120"/>
      <c r="DP161" s="120">
        <f t="shared" si="80"/>
        <v>56</v>
      </c>
      <c r="DR161" s="120">
        <v>2074</v>
      </c>
    </row>
    <row r="162" spans="1:122" ht="13.5">
      <c r="A162" s="233"/>
      <c r="B162" s="389" t="s">
        <v>593</v>
      </c>
      <c r="C162" s="389"/>
      <c r="D162" s="389" t="s">
        <v>594</v>
      </c>
      <c r="E162" s="389"/>
      <c r="F162" s="389"/>
      <c r="G162" s="389"/>
      <c r="H162" s="389"/>
      <c r="I162" s="389"/>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3"/>
      <c r="BZ162" s="233"/>
      <c r="CA162" s="233"/>
      <c r="CB162" s="233"/>
      <c r="CC162" s="233"/>
      <c r="CD162" s="233"/>
      <c r="CE162" s="233"/>
      <c r="CF162" s="233"/>
      <c r="CG162" s="233"/>
      <c r="CH162" s="233"/>
      <c r="CI162" s="233"/>
      <c r="CJ162" s="233"/>
      <c r="CK162" s="233"/>
      <c r="CL162" s="233"/>
      <c r="CM162" s="233"/>
      <c r="CN162" s="120"/>
      <c r="CO162" s="120"/>
      <c r="CP162" s="120"/>
      <c r="CQ162" s="120"/>
      <c r="CR162" s="120"/>
      <c r="CS162" s="120"/>
      <c r="CT162" s="120"/>
      <c r="CU162" s="120"/>
      <c r="CV162" s="120"/>
      <c r="CW162" s="120"/>
      <c r="CX162" s="120"/>
      <c r="CY162" s="120"/>
      <c r="CZ162" s="120"/>
      <c r="DA162" s="120"/>
      <c r="DB162" s="120"/>
      <c r="DC162" s="120"/>
      <c r="DD162" s="120"/>
      <c r="DE162" s="120"/>
      <c r="DF162" s="120"/>
      <c r="DP162" s="120">
        <f t="shared" si="80"/>
        <v>57</v>
      </c>
      <c r="DR162" s="120">
        <v>2075</v>
      </c>
    </row>
    <row r="163" spans="1:110" ht="13.5">
      <c r="A163" s="233"/>
      <c r="B163" s="389" t="s">
        <v>608</v>
      </c>
      <c r="C163" s="389"/>
      <c r="D163" s="389" t="s">
        <v>609</v>
      </c>
      <c r="E163" s="389"/>
      <c r="F163" s="389"/>
      <c r="G163" s="389"/>
      <c r="H163" s="389"/>
      <c r="I163" s="389"/>
      <c r="J163" s="233"/>
      <c r="K163" s="233"/>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c r="BB163" s="233"/>
      <c r="BC163" s="233"/>
      <c r="BD163" s="233"/>
      <c r="BE163" s="233"/>
      <c r="BF163" s="233"/>
      <c r="BG163" s="233"/>
      <c r="BH163" s="233"/>
      <c r="BI163" s="233"/>
      <c r="BJ163" s="233"/>
      <c r="BK163" s="233"/>
      <c r="BL163" s="233"/>
      <c r="BM163" s="233"/>
      <c r="BN163" s="233"/>
      <c r="BO163" s="233"/>
      <c r="BP163" s="233"/>
      <c r="BQ163" s="233"/>
      <c r="BR163" s="233"/>
      <c r="BS163" s="233"/>
      <c r="BT163" s="233"/>
      <c r="BU163" s="233"/>
      <c r="BV163" s="233"/>
      <c r="BW163" s="233"/>
      <c r="BX163" s="233"/>
      <c r="BY163" s="233"/>
      <c r="BZ163" s="233"/>
      <c r="CA163" s="233"/>
      <c r="CB163" s="233"/>
      <c r="CC163" s="233"/>
      <c r="CD163" s="233"/>
      <c r="CE163" s="233"/>
      <c r="CF163" s="233"/>
      <c r="CG163" s="233"/>
      <c r="CH163" s="233"/>
      <c r="CI163" s="233"/>
      <c r="CJ163" s="233"/>
      <c r="CK163" s="233"/>
      <c r="CL163" s="233"/>
      <c r="CM163" s="233"/>
      <c r="CN163" s="120"/>
      <c r="CO163" s="120"/>
      <c r="CP163" s="120"/>
      <c r="CQ163" s="120"/>
      <c r="CR163" s="120"/>
      <c r="CS163" s="120"/>
      <c r="CT163" s="120"/>
      <c r="CU163" s="120"/>
      <c r="CV163" s="120"/>
      <c r="CW163" s="120"/>
      <c r="CX163" s="120"/>
      <c r="CY163" s="120"/>
      <c r="CZ163" s="120"/>
      <c r="DA163" s="120"/>
      <c r="DB163" s="120"/>
      <c r="DC163" s="120"/>
      <c r="DD163" s="120"/>
      <c r="DE163" s="120"/>
      <c r="DF163" s="120"/>
    </row>
    <row r="164" spans="1:122" ht="13.5">
      <c r="A164" s="233"/>
      <c r="B164" s="389" t="s">
        <v>606</v>
      </c>
      <c r="C164" s="389"/>
      <c r="D164" s="389" t="s">
        <v>607</v>
      </c>
      <c r="E164" s="389"/>
      <c r="F164" s="389"/>
      <c r="G164" s="389"/>
      <c r="H164" s="389"/>
      <c r="I164" s="389"/>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c r="CF164" s="233"/>
      <c r="CG164" s="233"/>
      <c r="CH164" s="233"/>
      <c r="CI164" s="233"/>
      <c r="CJ164" s="233"/>
      <c r="CK164" s="233"/>
      <c r="CL164" s="233"/>
      <c r="CM164" s="233"/>
      <c r="CN164" s="120"/>
      <c r="CO164" s="120"/>
      <c r="CP164" s="120"/>
      <c r="CQ164" s="120"/>
      <c r="CR164" s="120"/>
      <c r="CS164" s="120"/>
      <c r="CT164" s="120"/>
      <c r="CU164" s="120"/>
      <c r="CV164" s="120"/>
      <c r="CW164" s="120"/>
      <c r="CX164" s="120"/>
      <c r="CY164" s="120"/>
      <c r="CZ164" s="120"/>
      <c r="DA164" s="120"/>
      <c r="DB164" s="120"/>
      <c r="DC164" s="120"/>
      <c r="DD164" s="120"/>
      <c r="DE164" s="120"/>
      <c r="DF164" s="120"/>
      <c r="DP164" s="120">
        <f>DP162+1</f>
        <v>58</v>
      </c>
      <c r="DR164" s="120">
        <v>2076</v>
      </c>
    </row>
    <row r="165" spans="1:122" ht="13.5">
      <c r="A165" s="233"/>
      <c r="B165" s="389" t="s">
        <v>610</v>
      </c>
      <c r="C165" s="389"/>
      <c r="D165" s="389" t="s">
        <v>611</v>
      </c>
      <c r="E165" s="389"/>
      <c r="F165" s="389"/>
      <c r="G165" s="389"/>
      <c r="H165" s="389"/>
      <c r="I165" s="389"/>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c r="CF165" s="233"/>
      <c r="CG165" s="233"/>
      <c r="CH165" s="233"/>
      <c r="CI165" s="233"/>
      <c r="CJ165" s="233"/>
      <c r="CK165" s="233"/>
      <c r="CL165" s="233"/>
      <c r="CM165" s="233"/>
      <c r="CN165" s="120"/>
      <c r="CO165" s="120"/>
      <c r="CP165" s="120"/>
      <c r="CQ165" s="120"/>
      <c r="CR165" s="120"/>
      <c r="CS165" s="120"/>
      <c r="CT165" s="120"/>
      <c r="CU165" s="120"/>
      <c r="CV165" s="120"/>
      <c r="CW165" s="120"/>
      <c r="CX165" s="120"/>
      <c r="CY165" s="120"/>
      <c r="CZ165" s="120"/>
      <c r="DA165" s="120"/>
      <c r="DB165" s="120"/>
      <c r="DC165" s="120"/>
      <c r="DD165" s="120"/>
      <c r="DE165" s="120"/>
      <c r="DF165" s="120"/>
      <c r="DP165" s="120">
        <f t="shared" si="80"/>
        <v>59</v>
      </c>
      <c r="DR165" s="120">
        <v>2077</v>
      </c>
    </row>
    <row r="166" spans="1:122" ht="13.5">
      <c r="A166" s="233"/>
      <c r="B166" s="389"/>
      <c r="C166" s="389"/>
      <c r="D166" s="389"/>
      <c r="E166" s="389"/>
      <c r="F166" s="389"/>
      <c r="G166" s="389"/>
      <c r="H166" s="389"/>
      <c r="I166" s="389"/>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3"/>
      <c r="CL166" s="233"/>
      <c r="CM166" s="233"/>
      <c r="CN166" s="120"/>
      <c r="CO166" s="120"/>
      <c r="CP166" s="120"/>
      <c r="CQ166" s="120"/>
      <c r="CR166" s="120"/>
      <c r="CS166" s="120"/>
      <c r="CT166" s="120"/>
      <c r="CU166" s="120"/>
      <c r="CV166" s="120"/>
      <c r="CW166" s="120"/>
      <c r="CX166" s="120"/>
      <c r="CY166" s="120"/>
      <c r="CZ166" s="120"/>
      <c r="DA166" s="120"/>
      <c r="DB166" s="120"/>
      <c r="DC166" s="120"/>
      <c r="DD166" s="120"/>
      <c r="DE166" s="120"/>
      <c r="DF166" s="120"/>
      <c r="DP166" s="120">
        <f t="shared" si="80"/>
        <v>60</v>
      </c>
      <c r="DR166" s="120">
        <v>2078</v>
      </c>
    </row>
    <row r="167" spans="1:122" ht="13.5">
      <c r="A167" s="233"/>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3"/>
      <c r="BR167" s="233"/>
      <c r="BS167" s="233"/>
      <c r="BT167" s="233"/>
      <c r="BU167" s="233"/>
      <c r="BV167" s="233"/>
      <c r="BW167" s="233"/>
      <c r="BX167" s="233"/>
      <c r="BY167" s="233"/>
      <c r="BZ167" s="233"/>
      <c r="CA167" s="233"/>
      <c r="CB167" s="233"/>
      <c r="CC167" s="233"/>
      <c r="CD167" s="233"/>
      <c r="CE167" s="233"/>
      <c r="CF167" s="233"/>
      <c r="CG167" s="233"/>
      <c r="CH167" s="233"/>
      <c r="CI167" s="233"/>
      <c r="CJ167" s="233"/>
      <c r="CK167" s="233"/>
      <c r="CL167" s="233"/>
      <c r="CM167" s="233"/>
      <c r="CN167" s="120"/>
      <c r="CO167" s="120"/>
      <c r="CP167" s="120"/>
      <c r="CQ167" s="120"/>
      <c r="CR167" s="120"/>
      <c r="CS167" s="120"/>
      <c r="CT167" s="120"/>
      <c r="CU167" s="120"/>
      <c r="CV167" s="120"/>
      <c r="CW167" s="120"/>
      <c r="CX167" s="120"/>
      <c r="CY167" s="120"/>
      <c r="CZ167" s="120"/>
      <c r="DA167" s="120"/>
      <c r="DB167" s="120"/>
      <c r="DC167" s="120"/>
      <c r="DD167" s="120"/>
      <c r="DE167" s="120"/>
      <c r="DF167" s="120"/>
      <c r="DP167" s="120">
        <f t="shared" si="80"/>
        <v>61</v>
      </c>
      <c r="DR167" s="120">
        <v>2079</v>
      </c>
    </row>
    <row r="168" spans="1:122" ht="13.5">
      <c r="A168" s="233"/>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c r="BT168" s="233"/>
      <c r="BU168" s="233"/>
      <c r="BV168" s="233"/>
      <c r="BW168" s="233"/>
      <c r="BX168" s="233"/>
      <c r="BY168" s="233"/>
      <c r="BZ168" s="233"/>
      <c r="CA168" s="233"/>
      <c r="CB168" s="233"/>
      <c r="CC168" s="233"/>
      <c r="CD168" s="233"/>
      <c r="CE168" s="233"/>
      <c r="CF168" s="233"/>
      <c r="CG168" s="233"/>
      <c r="CH168" s="233"/>
      <c r="CI168" s="233"/>
      <c r="CJ168" s="233"/>
      <c r="CK168" s="233"/>
      <c r="CL168" s="233"/>
      <c r="CM168" s="233"/>
      <c r="CN168" s="120"/>
      <c r="CO168" s="120"/>
      <c r="CP168" s="120"/>
      <c r="CQ168" s="120"/>
      <c r="CR168" s="120"/>
      <c r="CS168" s="120"/>
      <c r="CT168" s="120"/>
      <c r="CU168" s="120"/>
      <c r="CV168" s="120"/>
      <c r="CW168" s="120"/>
      <c r="CX168" s="120"/>
      <c r="CY168" s="120"/>
      <c r="CZ168" s="120"/>
      <c r="DA168" s="120"/>
      <c r="DB168" s="120"/>
      <c r="DC168" s="120"/>
      <c r="DD168" s="120"/>
      <c r="DE168" s="120"/>
      <c r="DF168" s="120"/>
      <c r="DP168" s="120">
        <f t="shared" si="80"/>
        <v>62</v>
      </c>
      <c r="DR168" s="120">
        <v>2080</v>
      </c>
    </row>
    <row r="169" spans="1:122" ht="13.5">
      <c r="A169" s="233"/>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c r="BJ169" s="233"/>
      <c r="BK169" s="233"/>
      <c r="BL169" s="233"/>
      <c r="BM169" s="233"/>
      <c r="BN169" s="233"/>
      <c r="BO169" s="233"/>
      <c r="BP169" s="233"/>
      <c r="BQ169" s="233"/>
      <c r="BR169" s="233"/>
      <c r="BS169" s="233"/>
      <c r="BT169" s="233"/>
      <c r="BU169" s="233"/>
      <c r="BV169" s="233"/>
      <c r="BW169" s="233"/>
      <c r="BX169" s="233"/>
      <c r="BY169" s="233"/>
      <c r="BZ169" s="233"/>
      <c r="CA169" s="233"/>
      <c r="CB169" s="233"/>
      <c r="CC169" s="233"/>
      <c r="CD169" s="233"/>
      <c r="CE169" s="233"/>
      <c r="CF169" s="233"/>
      <c r="CG169" s="233"/>
      <c r="CH169" s="233"/>
      <c r="CI169" s="233"/>
      <c r="CJ169" s="233"/>
      <c r="CK169" s="233"/>
      <c r="CL169" s="233"/>
      <c r="CM169" s="233"/>
      <c r="CN169" s="120"/>
      <c r="CO169" s="120"/>
      <c r="CP169" s="120"/>
      <c r="CQ169" s="120"/>
      <c r="CR169" s="120"/>
      <c r="CS169" s="120"/>
      <c r="CT169" s="120"/>
      <c r="CU169" s="120"/>
      <c r="CV169" s="120"/>
      <c r="CW169" s="120"/>
      <c r="CX169" s="120"/>
      <c r="CY169" s="120"/>
      <c r="CZ169" s="120"/>
      <c r="DA169" s="120"/>
      <c r="DB169" s="120"/>
      <c r="DC169" s="120"/>
      <c r="DD169" s="120"/>
      <c r="DE169" s="120"/>
      <c r="DF169" s="120"/>
      <c r="DP169" s="120">
        <f t="shared" si="80"/>
        <v>63</v>
      </c>
      <c r="DR169" s="120">
        <v>2081</v>
      </c>
    </row>
    <row r="170" spans="1:122" ht="13.5">
      <c r="A170" s="233"/>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120"/>
      <c r="CO170" s="120"/>
      <c r="CP170" s="120"/>
      <c r="CQ170" s="120"/>
      <c r="CR170" s="120"/>
      <c r="CS170" s="120"/>
      <c r="CT170" s="120"/>
      <c r="CU170" s="120"/>
      <c r="CV170" s="120"/>
      <c r="CW170" s="120"/>
      <c r="CX170" s="120"/>
      <c r="CY170" s="120"/>
      <c r="CZ170" s="120"/>
      <c r="DA170" s="120"/>
      <c r="DB170" s="120"/>
      <c r="DC170" s="120"/>
      <c r="DD170" s="120"/>
      <c r="DE170" s="120"/>
      <c r="DF170" s="120"/>
      <c r="DP170" s="120">
        <f t="shared" si="80"/>
        <v>64</v>
      </c>
      <c r="DR170" s="120">
        <v>2082</v>
      </c>
    </row>
    <row r="171" spans="1:122" ht="13.5">
      <c r="A171" s="233"/>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120"/>
      <c r="CO171" s="120"/>
      <c r="CP171" s="120"/>
      <c r="CQ171" s="120"/>
      <c r="CR171" s="120"/>
      <c r="CS171" s="120"/>
      <c r="CT171" s="120"/>
      <c r="CU171" s="120"/>
      <c r="CV171" s="120"/>
      <c r="CW171" s="120"/>
      <c r="CX171" s="120"/>
      <c r="CY171" s="120"/>
      <c r="CZ171" s="120"/>
      <c r="DA171" s="120"/>
      <c r="DB171" s="120"/>
      <c r="DC171" s="120"/>
      <c r="DD171" s="120"/>
      <c r="DE171" s="120"/>
      <c r="DF171" s="120"/>
      <c r="DP171" s="120">
        <f t="shared" si="80"/>
        <v>65</v>
      </c>
      <c r="DR171" s="120">
        <v>2083</v>
      </c>
    </row>
    <row r="172" spans="1:122" ht="13.5">
      <c r="A172" s="233"/>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120"/>
      <c r="CO172" s="120"/>
      <c r="CP172" s="120"/>
      <c r="CQ172" s="120"/>
      <c r="CR172" s="120"/>
      <c r="CS172" s="120"/>
      <c r="CT172" s="120"/>
      <c r="CU172" s="120"/>
      <c r="CV172" s="120"/>
      <c r="CW172" s="120"/>
      <c r="CX172" s="120"/>
      <c r="CY172" s="120"/>
      <c r="CZ172" s="120"/>
      <c r="DA172" s="120"/>
      <c r="DB172" s="120"/>
      <c r="DC172" s="120"/>
      <c r="DD172" s="120"/>
      <c r="DE172" s="120"/>
      <c r="DF172" s="120"/>
      <c r="DP172" s="120">
        <f t="shared" si="80"/>
        <v>66</v>
      </c>
      <c r="DR172" s="120">
        <v>2084</v>
      </c>
    </row>
    <row r="173" spans="1:122" ht="13.5">
      <c r="A173" s="233"/>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c r="BT173" s="233"/>
      <c r="BU173" s="233"/>
      <c r="BV173" s="233"/>
      <c r="BW173" s="233"/>
      <c r="BX173" s="233"/>
      <c r="BY173" s="233"/>
      <c r="BZ173" s="233"/>
      <c r="CA173" s="233"/>
      <c r="CB173" s="233"/>
      <c r="CC173" s="233"/>
      <c r="CD173" s="233"/>
      <c r="CE173" s="233"/>
      <c r="CF173" s="233"/>
      <c r="CG173" s="233"/>
      <c r="CH173" s="233"/>
      <c r="CI173" s="233"/>
      <c r="CJ173" s="233"/>
      <c r="CK173" s="233"/>
      <c r="CL173" s="233"/>
      <c r="CM173" s="233"/>
      <c r="CN173" s="120"/>
      <c r="CO173" s="120"/>
      <c r="CP173" s="120"/>
      <c r="CQ173" s="120"/>
      <c r="CR173" s="120"/>
      <c r="CS173" s="120"/>
      <c r="CT173" s="120"/>
      <c r="CU173" s="120"/>
      <c r="CV173" s="120"/>
      <c r="CW173" s="120"/>
      <c r="CX173" s="120"/>
      <c r="CY173" s="120"/>
      <c r="CZ173" s="120"/>
      <c r="DA173" s="120"/>
      <c r="DB173" s="120"/>
      <c r="DC173" s="120"/>
      <c r="DD173" s="120"/>
      <c r="DE173" s="120"/>
      <c r="DF173" s="120"/>
      <c r="DP173" s="120">
        <f aca="true" t="shared" si="81" ref="DP173:DP206">DP172+1</f>
        <v>67</v>
      </c>
      <c r="DR173" s="120">
        <v>2085</v>
      </c>
    </row>
    <row r="174" spans="1:122" ht="13.5">
      <c r="A174" s="233"/>
      <c r="B174" s="233"/>
      <c r="C174" s="233"/>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E174" s="233"/>
      <c r="AF174" s="233"/>
      <c r="AG174" s="23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33"/>
      <c r="BU174" s="233"/>
      <c r="BV174" s="233"/>
      <c r="BW174" s="233"/>
      <c r="BX174" s="233"/>
      <c r="BY174" s="233"/>
      <c r="BZ174" s="233"/>
      <c r="CA174" s="233"/>
      <c r="CB174" s="233"/>
      <c r="CC174" s="233"/>
      <c r="CD174" s="233"/>
      <c r="CE174" s="233"/>
      <c r="CF174" s="233"/>
      <c r="CG174" s="233"/>
      <c r="CH174" s="233"/>
      <c r="CI174" s="233"/>
      <c r="CJ174" s="233"/>
      <c r="CK174" s="233"/>
      <c r="CL174" s="233"/>
      <c r="CM174" s="233"/>
      <c r="CN174" s="120"/>
      <c r="CO174" s="120"/>
      <c r="CP174" s="120"/>
      <c r="CQ174" s="120"/>
      <c r="CR174" s="120"/>
      <c r="CS174" s="120"/>
      <c r="CT174" s="120"/>
      <c r="CU174" s="120"/>
      <c r="CV174" s="120"/>
      <c r="CW174" s="120"/>
      <c r="CX174" s="120"/>
      <c r="CY174" s="120"/>
      <c r="CZ174" s="120"/>
      <c r="DA174" s="120"/>
      <c r="DB174" s="120"/>
      <c r="DC174" s="120"/>
      <c r="DD174" s="120"/>
      <c r="DE174" s="120"/>
      <c r="DF174" s="120"/>
      <c r="DP174" s="120">
        <f t="shared" si="81"/>
        <v>68</v>
      </c>
      <c r="DR174" s="120">
        <v>2086</v>
      </c>
    </row>
    <row r="175" spans="1:122" ht="13.5">
      <c r="A175" s="233"/>
      <c r="B175" s="233"/>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233"/>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c r="BT175" s="233"/>
      <c r="BU175" s="233"/>
      <c r="BV175" s="233"/>
      <c r="BW175" s="233"/>
      <c r="BX175" s="233"/>
      <c r="BY175" s="233"/>
      <c r="BZ175" s="233"/>
      <c r="CA175" s="233"/>
      <c r="CB175" s="233"/>
      <c r="CC175" s="233"/>
      <c r="CD175" s="233"/>
      <c r="CE175" s="233"/>
      <c r="CF175" s="233"/>
      <c r="CG175" s="233"/>
      <c r="CH175" s="233"/>
      <c r="CI175" s="233"/>
      <c r="CJ175" s="233"/>
      <c r="CK175" s="233"/>
      <c r="CL175" s="233"/>
      <c r="CM175" s="233"/>
      <c r="CN175" s="120"/>
      <c r="CO175" s="120"/>
      <c r="CP175" s="120"/>
      <c r="CQ175" s="120"/>
      <c r="CR175" s="120"/>
      <c r="CS175" s="120"/>
      <c r="CT175" s="120"/>
      <c r="CU175" s="120"/>
      <c r="CV175" s="120"/>
      <c r="CW175" s="120"/>
      <c r="CX175" s="120"/>
      <c r="CY175" s="120"/>
      <c r="CZ175" s="120"/>
      <c r="DA175" s="120"/>
      <c r="DB175" s="120"/>
      <c r="DC175" s="120"/>
      <c r="DD175" s="120"/>
      <c r="DE175" s="120"/>
      <c r="DF175" s="120"/>
      <c r="DP175" s="120">
        <f t="shared" si="81"/>
        <v>69</v>
      </c>
      <c r="DR175" s="120">
        <v>2087</v>
      </c>
    </row>
    <row r="176" spans="1:122" ht="13.5">
      <c r="A176" s="233"/>
      <c r="B176" s="233"/>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c r="BJ176" s="233"/>
      <c r="BK176" s="233"/>
      <c r="BL176" s="233"/>
      <c r="BM176" s="233"/>
      <c r="BN176" s="233"/>
      <c r="BO176" s="233"/>
      <c r="BP176" s="233"/>
      <c r="BQ176" s="233"/>
      <c r="BR176" s="233"/>
      <c r="BS176" s="233"/>
      <c r="BT176" s="233"/>
      <c r="BU176" s="233"/>
      <c r="BV176" s="233"/>
      <c r="BW176" s="233"/>
      <c r="BX176" s="233"/>
      <c r="BY176" s="233"/>
      <c r="BZ176" s="233"/>
      <c r="CA176" s="233"/>
      <c r="CB176" s="233"/>
      <c r="CC176" s="233"/>
      <c r="CD176" s="233"/>
      <c r="CE176" s="233"/>
      <c r="CF176" s="233"/>
      <c r="CG176" s="233"/>
      <c r="CH176" s="233"/>
      <c r="CI176" s="233"/>
      <c r="CJ176" s="233"/>
      <c r="CK176" s="233"/>
      <c r="CL176" s="233"/>
      <c r="CM176" s="233"/>
      <c r="CN176" s="120"/>
      <c r="CO176" s="120"/>
      <c r="CP176" s="120"/>
      <c r="CQ176" s="120"/>
      <c r="CR176" s="120"/>
      <c r="CS176" s="120"/>
      <c r="CT176" s="120"/>
      <c r="CU176" s="120"/>
      <c r="CV176" s="120"/>
      <c r="CW176" s="120"/>
      <c r="CX176" s="120"/>
      <c r="CY176" s="120"/>
      <c r="CZ176" s="120"/>
      <c r="DA176" s="120"/>
      <c r="DB176" s="120"/>
      <c r="DC176" s="120"/>
      <c r="DD176" s="120"/>
      <c r="DE176" s="120"/>
      <c r="DF176" s="120"/>
      <c r="DP176" s="120">
        <f t="shared" si="81"/>
        <v>70</v>
      </c>
      <c r="DR176" s="120">
        <v>2088</v>
      </c>
    </row>
    <row r="177" spans="1:122" ht="13.5">
      <c r="A177" s="233"/>
      <c r="B177" s="233"/>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3"/>
      <c r="BW177" s="233"/>
      <c r="BX177" s="233"/>
      <c r="BY177" s="233"/>
      <c r="BZ177" s="233"/>
      <c r="CA177" s="233"/>
      <c r="CB177" s="233"/>
      <c r="CC177" s="233"/>
      <c r="CD177" s="233"/>
      <c r="CE177" s="233"/>
      <c r="CF177" s="233"/>
      <c r="CG177" s="233"/>
      <c r="CH177" s="233"/>
      <c r="CI177" s="233"/>
      <c r="CJ177" s="233"/>
      <c r="CK177" s="233"/>
      <c r="CL177" s="233"/>
      <c r="CM177" s="233"/>
      <c r="CN177" s="120"/>
      <c r="CO177" s="120"/>
      <c r="CP177" s="120"/>
      <c r="CQ177" s="120"/>
      <c r="CR177" s="120"/>
      <c r="CS177" s="120"/>
      <c r="CT177" s="120"/>
      <c r="CU177" s="120"/>
      <c r="CV177" s="120"/>
      <c r="CW177" s="120"/>
      <c r="CX177" s="120"/>
      <c r="CY177" s="120"/>
      <c r="CZ177" s="120"/>
      <c r="DA177" s="120"/>
      <c r="DB177" s="120"/>
      <c r="DC177" s="120"/>
      <c r="DD177" s="120"/>
      <c r="DE177" s="120"/>
      <c r="DF177" s="120"/>
      <c r="DP177" s="120">
        <f t="shared" si="81"/>
        <v>71</v>
      </c>
      <c r="DR177" s="120">
        <v>2089</v>
      </c>
    </row>
    <row r="178" spans="1:122" ht="13.5">
      <c r="A178" s="233"/>
      <c r="B178" s="233"/>
      <c r="C178" s="233"/>
      <c r="D178" s="233"/>
      <c r="E178" s="233"/>
      <c r="F178" s="233"/>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33"/>
      <c r="BW178" s="233"/>
      <c r="BX178" s="233"/>
      <c r="BY178" s="233"/>
      <c r="BZ178" s="233"/>
      <c r="CA178" s="233"/>
      <c r="CB178" s="233"/>
      <c r="CC178" s="233"/>
      <c r="CD178" s="233"/>
      <c r="CE178" s="233"/>
      <c r="CF178" s="233"/>
      <c r="CG178" s="233"/>
      <c r="CH178" s="233"/>
      <c r="CI178" s="233"/>
      <c r="CJ178" s="233"/>
      <c r="CK178" s="233"/>
      <c r="CL178" s="233"/>
      <c r="CM178" s="233"/>
      <c r="CN178" s="120"/>
      <c r="CO178" s="120"/>
      <c r="CP178" s="120"/>
      <c r="CQ178" s="120"/>
      <c r="CR178" s="120"/>
      <c r="CS178" s="120"/>
      <c r="CT178" s="120"/>
      <c r="CU178" s="120"/>
      <c r="CV178" s="120"/>
      <c r="CW178" s="120"/>
      <c r="CX178" s="120"/>
      <c r="CY178" s="120"/>
      <c r="CZ178" s="120"/>
      <c r="DA178" s="120"/>
      <c r="DB178" s="120"/>
      <c r="DC178" s="120"/>
      <c r="DD178" s="120"/>
      <c r="DE178" s="120"/>
      <c r="DF178" s="120"/>
      <c r="DP178" s="120">
        <f t="shared" si="81"/>
        <v>72</v>
      </c>
      <c r="DR178" s="120">
        <v>2090</v>
      </c>
    </row>
    <row r="179" spans="1:122" ht="13.5">
      <c r="A179" s="233"/>
      <c r="B179" s="233"/>
      <c r="C179" s="233"/>
      <c r="D179" s="233"/>
      <c r="E179" s="233"/>
      <c r="F179" s="233"/>
      <c r="G179" s="233"/>
      <c r="H179" s="233"/>
      <c r="I179" s="233"/>
      <c r="J179" s="233"/>
      <c r="K179" s="233"/>
      <c r="L179" s="233"/>
      <c r="M179" s="233"/>
      <c r="N179" s="233"/>
      <c r="O179" s="233"/>
      <c r="P179" s="233"/>
      <c r="Q179" s="233"/>
      <c r="R179" s="233"/>
      <c r="S179" s="233"/>
      <c r="T179" s="233"/>
      <c r="U179" s="233"/>
      <c r="V179" s="233"/>
      <c r="W179" s="233"/>
      <c r="X179" s="233"/>
      <c r="Y179" s="233"/>
      <c r="Z179" s="233"/>
      <c r="AA179" s="233"/>
      <c r="AB179" s="233"/>
      <c r="AC179" s="233"/>
      <c r="AD179" s="233"/>
      <c r="AE179" s="233"/>
      <c r="AF179" s="233"/>
      <c r="AG179" s="23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c r="BT179" s="233"/>
      <c r="BU179" s="233"/>
      <c r="BV179" s="233"/>
      <c r="BW179" s="233"/>
      <c r="BX179" s="233"/>
      <c r="BY179" s="233"/>
      <c r="BZ179" s="233"/>
      <c r="CA179" s="233"/>
      <c r="CB179" s="233"/>
      <c r="CC179" s="233"/>
      <c r="CD179" s="233"/>
      <c r="CE179" s="233"/>
      <c r="CF179" s="233"/>
      <c r="CG179" s="233"/>
      <c r="CH179" s="233"/>
      <c r="CI179" s="233"/>
      <c r="CJ179" s="233"/>
      <c r="CK179" s="233"/>
      <c r="CL179" s="233"/>
      <c r="CM179" s="233"/>
      <c r="CN179" s="120"/>
      <c r="CO179" s="120"/>
      <c r="CP179" s="120"/>
      <c r="CQ179" s="120"/>
      <c r="CR179" s="120"/>
      <c r="CS179" s="120"/>
      <c r="CT179" s="120"/>
      <c r="CU179" s="120"/>
      <c r="CV179" s="120"/>
      <c r="CW179" s="120"/>
      <c r="CX179" s="120"/>
      <c r="CY179" s="120"/>
      <c r="CZ179" s="120"/>
      <c r="DA179" s="120"/>
      <c r="DB179" s="120"/>
      <c r="DC179" s="120"/>
      <c r="DD179" s="120"/>
      <c r="DE179" s="120"/>
      <c r="DF179" s="120"/>
      <c r="DP179" s="120">
        <f t="shared" si="81"/>
        <v>73</v>
      </c>
      <c r="DR179" s="120">
        <v>2091</v>
      </c>
    </row>
    <row r="180" spans="1:122" ht="13.5">
      <c r="A180" s="233"/>
      <c r="B180" s="233"/>
      <c r="C180" s="233"/>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E180" s="233"/>
      <c r="AF180" s="233"/>
      <c r="AG180" s="23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c r="BJ180" s="233"/>
      <c r="BK180" s="233"/>
      <c r="BL180" s="233"/>
      <c r="BM180" s="233"/>
      <c r="BN180" s="233"/>
      <c r="BO180" s="233"/>
      <c r="BP180" s="233"/>
      <c r="BQ180" s="233"/>
      <c r="BR180" s="233"/>
      <c r="BS180" s="233"/>
      <c r="BT180" s="233"/>
      <c r="BU180" s="233"/>
      <c r="BV180" s="233"/>
      <c r="BW180" s="233"/>
      <c r="BX180" s="233"/>
      <c r="BY180" s="233"/>
      <c r="BZ180" s="233"/>
      <c r="CA180" s="233"/>
      <c r="CB180" s="233"/>
      <c r="CC180" s="233"/>
      <c r="CD180" s="233"/>
      <c r="CE180" s="233"/>
      <c r="CF180" s="233"/>
      <c r="CG180" s="233"/>
      <c r="CH180" s="233"/>
      <c r="CI180" s="233"/>
      <c r="CJ180" s="233"/>
      <c r="CK180" s="233"/>
      <c r="CL180" s="233"/>
      <c r="CM180" s="233"/>
      <c r="CN180" s="120"/>
      <c r="CO180" s="120"/>
      <c r="CP180" s="120"/>
      <c r="CQ180" s="120"/>
      <c r="CR180" s="120"/>
      <c r="CS180" s="120"/>
      <c r="CT180" s="120"/>
      <c r="CU180" s="120"/>
      <c r="CV180" s="120"/>
      <c r="CW180" s="120"/>
      <c r="CX180" s="120"/>
      <c r="CY180" s="120"/>
      <c r="CZ180" s="120"/>
      <c r="DA180" s="120"/>
      <c r="DB180" s="120"/>
      <c r="DC180" s="120"/>
      <c r="DD180" s="120"/>
      <c r="DE180" s="120"/>
      <c r="DF180" s="120"/>
      <c r="DP180" s="120">
        <f t="shared" si="81"/>
        <v>74</v>
      </c>
      <c r="DR180" s="120">
        <v>2092</v>
      </c>
    </row>
    <row r="181" spans="1:122" ht="13.5">
      <c r="A181" s="233"/>
      <c r="B181" s="233"/>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c r="BJ181" s="233"/>
      <c r="BK181" s="233"/>
      <c r="BL181" s="233"/>
      <c r="BM181" s="233"/>
      <c r="BN181" s="233"/>
      <c r="BO181" s="233"/>
      <c r="BP181" s="233"/>
      <c r="BQ181" s="233"/>
      <c r="BR181" s="233"/>
      <c r="BS181" s="233"/>
      <c r="BT181" s="233"/>
      <c r="BU181" s="233"/>
      <c r="BV181" s="233"/>
      <c r="BW181" s="233"/>
      <c r="BX181" s="233"/>
      <c r="BY181" s="233"/>
      <c r="BZ181" s="233"/>
      <c r="CA181" s="233"/>
      <c r="CB181" s="233"/>
      <c r="CC181" s="233"/>
      <c r="CD181" s="233"/>
      <c r="CE181" s="233"/>
      <c r="CF181" s="233"/>
      <c r="CG181" s="233"/>
      <c r="CH181" s="233"/>
      <c r="CI181" s="233"/>
      <c r="CJ181" s="233"/>
      <c r="CK181" s="233"/>
      <c r="CL181" s="233"/>
      <c r="CM181" s="233"/>
      <c r="CN181" s="120"/>
      <c r="CO181" s="120"/>
      <c r="CP181" s="120"/>
      <c r="CQ181" s="120"/>
      <c r="CR181" s="120"/>
      <c r="CS181" s="120"/>
      <c r="CT181" s="120"/>
      <c r="CU181" s="120"/>
      <c r="CV181" s="120"/>
      <c r="CW181" s="120"/>
      <c r="CX181" s="120"/>
      <c r="CY181" s="120"/>
      <c r="CZ181" s="120"/>
      <c r="DA181" s="120"/>
      <c r="DB181" s="120"/>
      <c r="DC181" s="120"/>
      <c r="DD181" s="120"/>
      <c r="DE181" s="120"/>
      <c r="DF181" s="120"/>
      <c r="DP181" s="120">
        <f t="shared" si="81"/>
        <v>75</v>
      </c>
      <c r="DR181" s="120">
        <v>2093</v>
      </c>
    </row>
    <row r="182" spans="1:122" ht="13.5">
      <c r="A182" s="233"/>
      <c r="B182" s="233"/>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233"/>
      <c r="BP182" s="233"/>
      <c r="BQ182" s="233"/>
      <c r="BR182" s="233"/>
      <c r="BS182" s="233"/>
      <c r="BT182" s="233"/>
      <c r="BU182" s="233"/>
      <c r="BV182" s="233"/>
      <c r="BW182" s="233"/>
      <c r="BX182" s="233"/>
      <c r="BY182" s="233"/>
      <c r="BZ182" s="233"/>
      <c r="CA182" s="233"/>
      <c r="CB182" s="233"/>
      <c r="CC182" s="233"/>
      <c r="CD182" s="233"/>
      <c r="CE182" s="233"/>
      <c r="CF182" s="233"/>
      <c r="CG182" s="233"/>
      <c r="CH182" s="233"/>
      <c r="CI182" s="233"/>
      <c r="CJ182" s="233"/>
      <c r="CK182" s="233"/>
      <c r="CL182" s="233"/>
      <c r="CM182" s="233"/>
      <c r="CN182" s="120"/>
      <c r="CO182" s="120"/>
      <c r="CP182" s="120"/>
      <c r="CQ182" s="120"/>
      <c r="CR182" s="120"/>
      <c r="CS182" s="120"/>
      <c r="CT182" s="120"/>
      <c r="CU182" s="120"/>
      <c r="CV182" s="120"/>
      <c r="CW182" s="120"/>
      <c r="CX182" s="120"/>
      <c r="CY182" s="120"/>
      <c r="CZ182" s="120"/>
      <c r="DA182" s="120"/>
      <c r="DB182" s="120"/>
      <c r="DC182" s="120"/>
      <c r="DD182" s="120"/>
      <c r="DE182" s="120"/>
      <c r="DF182" s="120"/>
      <c r="DP182" s="120">
        <f t="shared" si="81"/>
        <v>76</v>
      </c>
      <c r="DR182" s="120">
        <v>2094</v>
      </c>
    </row>
    <row r="183" spans="1:122" ht="13.5">
      <c r="A183" s="233"/>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3"/>
      <c r="BW183" s="233"/>
      <c r="BX183" s="233"/>
      <c r="BY183" s="233"/>
      <c r="BZ183" s="233"/>
      <c r="CA183" s="233"/>
      <c r="CB183" s="233"/>
      <c r="CC183" s="233"/>
      <c r="CD183" s="233"/>
      <c r="CE183" s="233"/>
      <c r="CF183" s="233"/>
      <c r="CG183" s="233"/>
      <c r="CH183" s="233"/>
      <c r="CI183" s="233"/>
      <c r="CJ183" s="233"/>
      <c r="CK183" s="233"/>
      <c r="CL183" s="233"/>
      <c r="CM183" s="233"/>
      <c r="CN183" s="120"/>
      <c r="CO183" s="120"/>
      <c r="CP183" s="120"/>
      <c r="CQ183" s="120"/>
      <c r="CR183" s="120"/>
      <c r="CS183" s="120"/>
      <c r="CT183" s="120"/>
      <c r="CU183" s="120"/>
      <c r="CV183" s="120"/>
      <c r="CW183" s="120"/>
      <c r="CX183" s="120"/>
      <c r="CY183" s="120"/>
      <c r="CZ183" s="120"/>
      <c r="DA183" s="120"/>
      <c r="DB183" s="120"/>
      <c r="DC183" s="120"/>
      <c r="DD183" s="120"/>
      <c r="DE183" s="120"/>
      <c r="DF183" s="120"/>
      <c r="DP183" s="120">
        <f t="shared" si="81"/>
        <v>77</v>
      </c>
      <c r="DR183" s="120">
        <v>2095</v>
      </c>
    </row>
    <row r="184" spans="1:122" ht="13.5">
      <c r="A184" s="233"/>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33"/>
      <c r="CA184" s="233"/>
      <c r="CB184" s="233"/>
      <c r="CC184" s="233"/>
      <c r="CD184" s="233"/>
      <c r="CE184" s="233"/>
      <c r="CF184" s="233"/>
      <c r="CG184" s="233"/>
      <c r="CH184" s="233"/>
      <c r="CI184" s="233"/>
      <c r="CJ184" s="233"/>
      <c r="CK184" s="233"/>
      <c r="CL184" s="233"/>
      <c r="CM184" s="233"/>
      <c r="CN184" s="120"/>
      <c r="CO184" s="120"/>
      <c r="CP184" s="120"/>
      <c r="CQ184" s="120"/>
      <c r="CR184" s="120"/>
      <c r="CS184" s="120"/>
      <c r="CT184" s="120"/>
      <c r="CU184" s="120"/>
      <c r="CV184" s="120"/>
      <c r="CW184" s="120"/>
      <c r="CX184" s="120"/>
      <c r="CY184" s="120"/>
      <c r="CZ184" s="120"/>
      <c r="DA184" s="120"/>
      <c r="DB184" s="120"/>
      <c r="DC184" s="120"/>
      <c r="DD184" s="120"/>
      <c r="DE184" s="120"/>
      <c r="DF184" s="120"/>
      <c r="DP184" s="120">
        <f t="shared" si="81"/>
        <v>78</v>
      </c>
      <c r="DR184" s="120">
        <v>2096</v>
      </c>
    </row>
    <row r="185" spans="1:122" ht="13.5">
      <c r="A185" s="233"/>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c r="CF185" s="233"/>
      <c r="CG185" s="233"/>
      <c r="CH185" s="233"/>
      <c r="CI185" s="233"/>
      <c r="CJ185" s="233"/>
      <c r="CK185" s="233"/>
      <c r="CL185" s="233"/>
      <c r="CM185" s="233"/>
      <c r="CN185" s="120"/>
      <c r="CO185" s="120"/>
      <c r="CP185" s="120"/>
      <c r="CQ185" s="120"/>
      <c r="CR185" s="120"/>
      <c r="CS185" s="120"/>
      <c r="CT185" s="120"/>
      <c r="CU185" s="120"/>
      <c r="CV185" s="120"/>
      <c r="CW185" s="120"/>
      <c r="CX185" s="120"/>
      <c r="CY185" s="120"/>
      <c r="CZ185" s="120"/>
      <c r="DA185" s="120"/>
      <c r="DB185" s="120"/>
      <c r="DC185" s="120"/>
      <c r="DD185" s="120"/>
      <c r="DE185" s="120"/>
      <c r="DF185" s="120"/>
      <c r="DP185" s="120">
        <f t="shared" si="81"/>
        <v>79</v>
      </c>
      <c r="DR185" s="120">
        <v>2097</v>
      </c>
    </row>
    <row r="186" spans="1:122" ht="13.5">
      <c r="A186" s="233"/>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c r="CF186" s="233"/>
      <c r="CG186" s="233"/>
      <c r="CH186" s="233"/>
      <c r="CI186" s="233"/>
      <c r="CJ186" s="233"/>
      <c r="CK186" s="233"/>
      <c r="CL186" s="233"/>
      <c r="CM186" s="233"/>
      <c r="CN186" s="120"/>
      <c r="CO186" s="120"/>
      <c r="CP186" s="120"/>
      <c r="CQ186" s="120"/>
      <c r="CR186" s="120"/>
      <c r="CS186" s="120"/>
      <c r="CT186" s="120"/>
      <c r="CU186" s="120"/>
      <c r="CV186" s="120"/>
      <c r="CW186" s="120"/>
      <c r="CX186" s="120"/>
      <c r="CY186" s="120"/>
      <c r="CZ186" s="120"/>
      <c r="DA186" s="120"/>
      <c r="DB186" s="120"/>
      <c r="DC186" s="120"/>
      <c r="DD186" s="120"/>
      <c r="DE186" s="120"/>
      <c r="DF186" s="120"/>
      <c r="DP186" s="120">
        <f t="shared" si="81"/>
        <v>80</v>
      </c>
      <c r="DR186" s="120">
        <v>2098</v>
      </c>
    </row>
    <row r="187" spans="1:122" ht="13.5">
      <c r="A187" s="233"/>
      <c r="B187" s="233"/>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3"/>
      <c r="BW187" s="233"/>
      <c r="BX187" s="233"/>
      <c r="BY187" s="233"/>
      <c r="BZ187" s="233"/>
      <c r="CA187" s="233"/>
      <c r="CB187" s="233"/>
      <c r="CC187" s="233"/>
      <c r="CD187" s="233"/>
      <c r="CE187" s="233"/>
      <c r="CF187" s="233"/>
      <c r="CG187" s="233"/>
      <c r="CH187" s="233"/>
      <c r="CI187" s="233"/>
      <c r="CJ187" s="233"/>
      <c r="CK187" s="233"/>
      <c r="CL187" s="233"/>
      <c r="CM187" s="233"/>
      <c r="CN187" s="120"/>
      <c r="CO187" s="120"/>
      <c r="CP187" s="120"/>
      <c r="CQ187" s="120"/>
      <c r="CR187" s="120"/>
      <c r="CS187" s="120"/>
      <c r="CT187" s="120"/>
      <c r="CU187" s="120"/>
      <c r="CV187" s="120"/>
      <c r="CW187" s="120"/>
      <c r="CX187" s="120"/>
      <c r="CY187" s="120"/>
      <c r="CZ187" s="120"/>
      <c r="DA187" s="120"/>
      <c r="DB187" s="120"/>
      <c r="DC187" s="120"/>
      <c r="DD187" s="120"/>
      <c r="DE187" s="120"/>
      <c r="DF187" s="120"/>
      <c r="DP187" s="120">
        <f t="shared" si="81"/>
        <v>81</v>
      </c>
      <c r="DR187" s="120">
        <v>2099</v>
      </c>
    </row>
    <row r="188" spans="1:122" ht="13.5">
      <c r="A188" s="233"/>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c r="CA188" s="233"/>
      <c r="CB188" s="233"/>
      <c r="CC188" s="233"/>
      <c r="CD188" s="233"/>
      <c r="CE188" s="233"/>
      <c r="CF188" s="233"/>
      <c r="CG188" s="233"/>
      <c r="CH188" s="233"/>
      <c r="CI188" s="233"/>
      <c r="CJ188" s="233"/>
      <c r="CK188" s="233"/>
      <c r="CL188" s="233"/>
      <c r="CM188" s="233"/>
      <c r="CN188" s="120"/>
      <c r="CO188" s="120"/>
      <c r="CP188" s="120"/>
      <c r="CQ188" s="120"/>
      <c r="CR188" s="120"/>
      <c r="CS188" s="120"/>
      <c r="CT188" s="120"/>
      <c r="CU188" s="120"/>
      <c r="CV188" s="120"/>
      <c r="CW188" s="120"/>
      <c r="CX188" s="120"/>
      <c r="CY188" s="120"/>
      <c r="CZ188" s="120"/>
      <c r="DA188" s="120"/>
      <c r="DB188" s="120"/>
      <c r="DC188" s="120"/>
      <c r="DD188" s="120"/>
      <c r="DE188" s="120"/>
      <c r="DF188" s="120"/>
      <c r="DP188" s="120">
        <f t="shared" si="81"/>
        <v>82</v>
      </c>
      <c r="DR188" s="120">
        <v>2100</v>
      </c>
    </row>
    <row r="189" spans="1:122" ht="13.5">
      <c r="A189" s="233"/>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c r="BZ189" s="233"/>
      <c r="CA189" s="233"/>
      <c r="CB189" s="233"/>
      <c r="CC189" s="233"/>
      <c r="CD189" s="233"/>
      <c r="CE189" s="233"/>
      <c r="CF189" s="233"/>
      <c r="CG189" s="233"/>
      <c r="CH189" s="233"/>
      <c r="CI189" s="233"/>
      <c r="CJ189" s="233"/>
      <c r="CK189" s="233"/>
      <c r="CL189" s="233"/>
      <c r="CM189" s="233"/>
      <c r="CN189" s="120"/>
      <c r="CO189" s="120"/>
      <c r="CP189" s="120"/>
      <c r="CQ189" s="120"/>
      <c r="CR189" s="120"/>
      <c r="CS189" s="120"/>
      <c r="CT189" s="120"/>
      <c r="CU189" s="120"/>
      <c r="CV189" s="120"/>
      <c r="CW189" s="120"/>
      <c r="CX189" s="120"/>
      <c r="CY189" s="120"/>
      <c r="CZ189" s="120"/>
      <c r="DA189" s="120"/>
      <c r="DB189" s="120"/>
      <c r="DC189" s="120"/>
      <c r="DD189" s="120"/>
      <c r="DE189" s="120"/>
      <c r="DF189" s="120"/>
      <c r="DP189" s="120">
        <f t="shared" si="81"/>
        <v>83</v>
      </c>
      <c r="DR189" s="120">
        <v>2101</v>
      </c>
    </row>
    <row r="190" spans="1:122" ht="13.5">
      <c r="A190" s="233"/>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3"/>
      <c r="BW190" s="233"/>
      <c r="BX190" s="233"/>
      <c r="BY190" s="233"/>
      <c r="BZ190" s="233"/>
      <c r="CA190" s="233"/>
      <c r="CB190" s="233"/>
      <c r="CC190" s="233"/>
      <c r="CD190" s="233"/>
      <c r="CE190" s="233"/>
      <c r="CF190" s="233"/>
      <c r="CG190" s="233"/>
      <c r="CH190" s="233"/>
      <c r="CI190" s="233"/>
      <c r="CJ190" s="233"/>
      <c r="CK190" s="233"/>
      <c r="CL190" s="233"/>
      <c r="CM190" s="233"/>
      <c r="CN190" s="120"/>
      <c r="CO190" s="120"/>
      <c r="CP190" s="120"/>
      <c r="CQ190" s="120"/>
      <c r="CR190" s="120"/>
      <c r="CS190" s="120"/>
      <c r="CT190" s="120"/>
      <c r="CU190" s="120"/>
      <c r="CV190" s="120"/>
      <c r="CW190" s="120"/>
      <c r="CX190" s="120"/>
      <c r="CY190" s="120"/>
      <c r="CZ190" s="120"/>
      <c r="DA190" s="120"/>
      <c r="DB190" s="120"/>
      <c r="DC190" s="120"/>
      <c r="DD190" s="120"/>
      <c r="DE190" s="120"/>
      <c r="DF190" s="120"/>
      <c r="DP190" s="120">
        <f t="shared" si="81"/>
        <v>84</v>
      </c>
      <c r="DR190" s="120">
        <v>2102</v>
      </c>
    </row>
    <row r="191" spans="1:122" ht="13.5">
      <c r="A191" s="233"/>
      <c r="B191" s="233"/>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c r="BZ191" s="233"/>
      <c r="CA191" s="233"/>
      <c r="CB191" s="233"/>
      <c r="CC191" s="233"/>
      <c r="CD191" s="233"/>
      <c r="CE191" s="233"/>
      <c r="CF191" s="233"/>
      <c r="CG191" s="233"/>
      <c r="CH191" s="233"/>
      <c r="CI191" s="233"/>
      <c r="CJ191" s="233"/>
      <c r="CK191" s="233"/>
      <c r="CL191" s="233"/>
      <c r="CM191" s="233"/>
      <c r="CN191" s="120"/>
      <c r="CO191" s="120"/>
      <c r="CP191" s="120"/>
      <c r="CQ191" s="120"/>
      <c r="CR191" s="120"/>
      <c r="CS191" s="120"/>
      <c r="CT191" s="120"/>
      <c r="CU191" s="120"/>
      <c r="CV191" s="120"/>
      <c r="CW191" s="120"/>
      <c r="CX191" s="120"/>
      <c r="CY191" s="120"/>
      <c r="CZ191" s="120"/>
      <c r="DA191" s="120"/>
      <c r="DB191" s="120"/>
      <c r="DC191" s="120"/>
      <c r="DD191" s="120"/>
      <c r="DE191" s="120"/>
      <c r="DF191" s="120"/>
      <c r="DP191" s="120">
        <f t="shared" si="81"/>
        <v>85</v>
      </c>
      <c r="DR191" s="120">
        <v>2103</v>
      </c>
    </row>
    <row r="192" spans="1:122" ht="13.5">
      <c r="A192" s="233"/>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0"/>
      <c r="BZ192" s="120"/>
      <c r="CA192" s="120"/>
      <c r="CB192" s="120"/>
      <c r="CC192" s="120"/>
      <c r="CD192" s="120"/>
      <c r="CE192" s="120"/>
      <c r="CF192" s="120"/>
      <c r="CG192" s="120"/>
      <c r="CH192" s="120"/>
      <c r="CI192" s="120"/>
      <c r="CJ192" s="120"/>
      <c r="CK192" s="120"/>
      <c r="CL192" s="120"/>
      <c r="CM192" s="120"/>
      <c r="CN192" s="120"/>
      <c r="CO192" s="120"/>
      <c r="CP192" s="120"/>
      <c r="CQ192" s="120"/>
      <c r="CR192" s="120"/>
      <c r="CS192" s="120"/>
      <c r="CT192" s="120"/>
      <c r="CU192" s="120"/>
      <c r="CV192" s="120"/>
      <c r="CW192" s="120"/>
      <c r="CX192" s="120"/>
      <c r="CY192" s="120"/>
      <c r="CZ192" s="120"/>
      <c r="DA192" s="120"/>
      <c r="DB192" s="120"/>
      <c r="DC192" s="120"/>
      <c r="DD192" s="120"/>
      <c r="DE192" s="120"/>
      <c r="DF192" s="120"/>
      <c r="DP192" s="120">
        <f t="shared" si="81"/>
        <v>86</v>
      </c>
      <c r="DR192" s="120">
        <v>2104</v>
      </c>
    </row>
    <row r="193" spans="1:122" ht="13.5">
      <c r="A193" s="233"/>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c r="CC193" s="120"/>
      <c r="CD193" s="120"/>
      <c r="CE193" s="120"/>
      <c r="CF193" s="120"/>
      <c r="CG193" s="120"/>
      <c r="CH193" s="120"/>
      <c r="CI193" s="120"/>
      <c r="CJ193" s="120"/>
      <c r="CK193" s="120"/>
      <c r="CL193" s="120"/>
      <c r="CM193" s="120"/>
      <c r="CN193" s="120"/>
      <c r="CO193" s="120"/>
      <c r="CP193" s="120"/>
      <c r="CQ193" s="120"/>
      <c r="CR193" s="120"/>
      <c r="CS193" s="120"/>
      <c r="CT193" s="120"/>
      <c r="CU193" s="120"/>
      <c r="CV193" s="120"/>
      <c r="CW193" s="120"/>
      <c r="CX193" s="120"/>
      <c r="CY193" s="120"/>
      <c r="CZ193" s="120"/>
      <c r="DA193" s="120"/>
      <c r="DB193" s="120"/>
      <c r="DC193" s="120"/>
      <c r="DD193" s="120"/>
      <c r="DE193" s="120"/>
      <c r="DF193" s="120"/>
      <c r="DP193" s="120">
        <f t="shared" si="81"/>
        <v>87</v>
      </c>
      <c r="DR193" s="120">
        <v>2105</v>
      </c>
    </row>
    <row r="194" spans="1:122" ht="13.5">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120"/>
      <c r="CP194" s="120"/>
      <c r="CQ194" s="120"/>
      <c r="CR194" s="120"/>
      <c r="CS194" s="120"/>
      <c r="CT194" s="120"/>
      <c r="CU194" s="120"/>
      <c r="CV194" s="120"/>
      <c r="CW194" s="120"/>
      <c r="CX194" s="120"/>
      <c r="CY194" s="120"/>
      <c r="CZ194" s="120"/>
      <c r="DA194" s="120"/>
      <c r="DB194" s="120"/>
      <c r="DC194" s="120"/>
      <c r="DD194" s="120"/>
      <c r="DE194" s="120"/>
      <c r="DF194" s="120"/>
      <c r="DP194" s="120">
        <f t="shared" si="81"/>
        <v>88</v>
      </c>
      <c r="DR194" s="120">
        <v>2106</v>
      </c>
    </row>
    <row r="195" spans="1:122" ht="13.5">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0"/>
      <c r="CM195" s="120"/>
      <c r="CN195" s="120"/>
      <c r="CO195" s="120"/>
      <c r="CP195" s="120"/>
      <c r="CQ195" s="120"/>
      <c r="CR195" s="120"/>
      <c r="CS195" s="120"/>
      <c r="CT195" s="120"/>
      <c r="CU195" s="120"/>
      <c r="CV195" s="120"/>
      <c r="CW195" s="120"/>
      <c r="CX195" s="120"/>
      <c r="CY195" s="120"/>
      <c r="CZ195" s="120"/>
      <c r="DA195" s="120"/>
      <c r="DB195" s="120"/>
      <c r="DC195" s="120"/>
      <c r="DD195" s="120"/>
      <c r="DE195" s="120"/>
      <c r="DF195" s="120"/>
      <c r="DP195" s="120">
        <f t="shared" si="81"/>
        <v>89</v>
      </c>
      <c r="DR195" s="120">
        <v>2107</v>
      </c>
    </row>
    <row r="196" spans="1:122" ht="13.5">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c r="BR196" s="120"/>
      <c r="BS196" s="120"/>
      <c r="BT196" s="120"/>
      <c r="BU196" s="120"/>
      <c r="BV196" s="120"/>
      <c r="BW196" s="120"/>
      <c r="BX196" s="120"/>
      <c r="BY196" s="120"/>
      <c r="BZ196" s="120"/>
      <c r="CA196" s="120"/>
      <c r="CB196" s="120"/>
      <c r="CC196" s="120"/>
      <c r="CD196" s="120"/>
      <c r="CE196" s="120"/>
      <c r="CF196" s="120"/>
      <c r="CG196" s="120"/>
      <c r="CH196" s="120"/>
      <c r="CI196" s="120"/>
      <c r="CJ196" s="120"/>
      <c r="CK196" s="120"/>
      <c r="CL196" s="120"/>
      <c r="CM196" s="120"/>
      <c r="CN196" s="120"/>
      <c r="CO196" s="120"/>
      <c r="CP196" s="120"/>
      <c r="CQ196" s="120"/>
      <c r="CR196" s="120"/>
      <c r="CS196" s="120"/>
      <c r="CT196" s="120"/>
      <c r="CU196" s="120"/>
      <c r="CV196" s="120"/>
      <c r="CW196" s="120"/>
      <c r="CX196" s="120"/>
      <c r="CY196" s="120"/>
      <c r="CZ196" s="120"/>
      <c r="DA196" s="120"/>
      <c r="DB196" s="120"/>
      <c r="DC196" s="120"/>
      <c r="DD196" s="120"/>
      <c r="DE196" s="120"/>
      <c r="DF196" s="120"/>
      <c r="DP196" s="120">
        <f t="shared" si="81"/>
        <v>90</v>
      </c>
      <c r="DR196" s="120">
        <v>2108</v>
      </c>
    </row>
    <row r="197" spans="1:122" ht="13.5">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c r="BR197" s="120"/>
      <c r="BS197" s="120"/>
      <c r="BT197" s="120"/>
      <c r="BU197" s="120"/>
      <c r="BV197" s="120"/>
      <c r="BW197" s="120"/>
      <c r="BX197" s="120"/>
      <c r="BY197" s="120"/>
      <c r="BZ197" s="120"/>
      <c r="CA197" s="120"/>
      <c r="CB197" s="120"/>
      <c r="CC197" s="120"/>
      <c r="CD197" s="120"/>
      <c r="CE197" s="120"/>
      <c r="CF197" s="120"/>
      <c r="CG197" s="120"/>
      <c r="CH197" s="120"/>
      <c r="CI197" s="120"/>
      <c r="CJ197" s="120"/>
      <c r="CK197" s="120"/>
      <c r="CL197" s="120"/>
      <c r="CM197" s="120"/>
      <c r="CN197" s="120"/>
      <c r="CO197" s="120"/>
      <c r="CP197" s="120"/>
      <c r="CQ197" s="120"/>
      <c r="CR197" s="120"/>
      <c r="CS197" s="120"/>
      <c r="CT197" s="120"/>
      <c r="CU197" s="120"/>
      <c r="CV197" s="120"/>
      <c r="CW197" s="120"/>
      <c r="CX197" s="120"/>
      <c r="CY197" s="120"/>
      <c r="CZ197" s="120"/>
      <c r="DA197" s="120"/>
      <c r="DB197" s="120"/>
      <c r="DC197" s="120"/>
      <c r="DD197" s="120"/>
      <c r="DE197" s="120"/>
      <c r="DF197" s="120"/>
      <c r="DP197" s="120">
        <f t="shared" si="81"/>
        <v>91</v>
      </c>
      <c r="DR197" s="120">
        <v>2109</v>
      </c>
    </row>
    <row r="198" spans="1:122" ht="13.5">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120"/>
      <c r="CP198" s="120"/>
      <c r="CQ198" s="120"/>
      <c r="CR198" s="120"/>
      <c r="CS198" s="120"/>
      <c r="CT198" s="120"/>
      <c r="CU198" s="120"/>
      <c r="CV198" s="120"/>
      <c r="CW198" s="120"/>
      <c r="CX198" s="120"/>
      <c r="CY198" s="120"/>
      <c r="CZ198" s="120"/>
      <c r="DA198" s="120"/>
      <c r="DB198" s="120"/>
      <c r="DC198" s="120"/>
      <c r="DD198" s="120"/>
      <c r="DE198" s="120"/>
      <c r="DF198" s="120"/>
      <c r="DP198" s="120">
        <f t="shared" si="81"/>
        <v>92</v>
      </c>
      <c r="DR198" s="120">
        <v>2110</v>
      </c>
    </row>
    <row r="199" spans="1:122" ht="13.5">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120"/>
      <c r="CD199" s="120"/>
      <c r="CE199" s="120"/>
      <c r="CF199" s="120"/>
      <c r="CG199" s="120"/>
      <c r="CH199" s="120"/>
      <c r="CI199" s="120"/>
      <c r="CJ199" s="120"/>
      <c r="CK199" s="120"/>
      <c r="CL199" s="120"/>
      <c r="CM199" s="120"/>
      <c r="CN199" s="120"/>
      <c r="CO199" s="120"/>
      <c r="CP199" s="120"/>
      <c r="CQ199" s="120"/>
      <c r="CR199" s="120"/>
      <c r="CS199" s="120"/>
      <c r="CT199" s="120"/>
      <c r="CU199" s="120"/>
      <c r="CV199" s="120"/>
      <c r="CW199" s="120"/>
      <c r="CX199" s="120"/>
      <c r="CY199" s="120"/>
      <c r="CZ199" s="120"/>
      <c r="DA199" s="120"/>
      <c r="DB199" s="120"/>
      <c r="DC199" s="120"/>
      <c r="DD199" s="120"/>
      <c r="DE199" s="120"/>
      <c r="DF199" s="120"/>
      <c r="DP199" s="120">
        <f t="shared" si="81"/>
        <v>93</v>
      </c>
      <c r="DR199" s="120">
        <v>2111</v>
      </c>
    </row>
    <row r="200" spans="1:122" ht="13.5">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c r="BR200" s="120"/>
      <c r="BS200" s="120"/>
      <c r="BT200" s="120"/>
      <c r="BU200" s="120"/>
      <c r="BV200" s="120"/>
      <c r="BW200" s="120"/>
      <c r="BX200" s="120"/>
      <c r="BY200" s="120"/>
      <c r="BZ200" s="120"/>
      <c r="CA200" s="120"/>
      <c r="CB200" s="120"/>
      <c r="CC200" s="120"/>
      <c r="CD200" s="120"/>
      <c r="CE200" s="120"/>
      <c r="CF200" s="120"/>
      <c r="CG200" s="120"/>
      <c r="CH200" s="120"/>
      <c r="CI200" s="120"/>
      <c r="CJ200" s="120"/>
      <c r="CK200" s="120"/>
      <c r="CL200" s="120"/>
      <c r="CM200" s="120"/>
      <c r="CN200" s="120"/>
      <c r="CO200" s="120"/>
      <c r="CP200" s="120"/>
      <c r="CQ200" s="120"/>
      <c r="CR200" s="120"/>
      <c r="CS200" s="120"/>
      <c r="CT200" s="120"/>
      <c r="CU200" s="120"/>
      <c r="CV200" s="120"/>
      <c r="CW200" s="120"/>
      <c r="CX200" s="120"/>
      <c r="CY200" s="120"/>
      <c r="CZ200" s="120"/>
      <c r="DA200" s="120"/>
      <c r="DB200" s="120"/>
      <c r="DC200" s="120"/>
      <c r="DD200" s="120"/>
      <c r="DE200" s="120"/>
      <c r="DF200" s="120"/>
      <c r="DP200" s="120">
        <f t="shared" si="81"/>
        <v>94</v>
      </c>
      <c r="DR200" s="120">
        <v>2112</v>
      </c>
    </row>
    <row r="201" spans="1:122" ht="13.5">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c r="BR201" s="120"/>
      <c r="BS201" s="120"/>
      <c r="BT201" s="120"/>
      <c r="BU201" s="120"/>
      <c r="BV201" s="120"/>
      <c r="BW201" s="120"/>
      <c r="BX201" s="120"/>
      <c r="BY201" s="120"/>
      <c r="BZ201" s="120"/>
      <c r="CA201" s="120"/>
      <c r="CB201" s="120"/>
      <c r="CC201" s="120"/>
      <c r="CD201" s="120"/>
      <c r="CE201" s="120"/>
      <c r="CF201" s="120"/>
      <c r="CG201" s="120"/>
      <c r="CH201" s="120"/>
      <c r="CI201" s="120"/>
      <c r="CJ201" s="120"/>
      <c r="CK201" s="120"/>
      <c r="CL201" s="120"/>
      <c r="CM201" s="120"/>
      <c r="CN201" s="120"/>
      <c r="CO201" s="120"/>
      <c r="CP201" s="120"/>
      <c r="CQ201" s="120"/>
      <c r="CR201" s="120"/>
      <c r="CS201" s="120"/>
      <c r="CT201" s="120"/>
      <c r="CU201" s="120"/>
      <c r="CV201" s="120"/>
      <c r="CW201" s="120"/>
      <c r="CX201" s="120"/>
      <c r="CY201" s="120"/>
      <c r="CZ201" s="120"/>
      <c r="DA201" s="120"/>
      <c r="DB201" s="120"/>
      <c r="DC201" s="120"/>
      <c r="DD201" s="120"/>
      <c r="DE201" s="120"/>
      <c r="DF201" s="120"/>
      <c r="DP201" s="120">
        <f t="shared" si="81"/>
        <v>95</v>
      </c>
      <c r="DR201" s="120">
        <v>2113</v>
      </c>
    </row>
    <row r="202" spans="1:122" ht="13.5">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120"/>
      <c r="CP202" s="120"/>
      <c r="CQ202" s="120"/>
      <c r="CR202" s="120"/>
      <c r="CS202" s="120"/>
      <c r="CT202" s="120"/>
      <c r="CU202" s="120"/>
      <c r="CV202" s="120"/>
      <c r="CW202" s="120"/>
      <c r="CX202" s="120"/>
      <c r="CY202" s="120"/>
      <c r="CZ202" s="120"/>
      <c r="DA202" s="120"/>
      <c r="DB202" s="120"/>
      <c r="DC202" s="120"/>
      <c r="DD202" s="120"/>
      <c r="DE202" s="120"/>
      <c r="DF202" s="120"/>
      <c r="DP202" s="120">
        <f t="shared" si="81"/>
        <v>96</v>
      </c>
      <c r="DR202" s="120">
        <v>2114</v>
      </c>
    </row>
    <row r="203" spans="1:122" ht="13.5">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0"/>
      <c r="CM203" s="120"/>
      <c r="CN203" s="120"/>
      <c r="CO203" s="120"/>
      <c r="CP203" s="120"/>
      <c r="CQ203" s="120"/>
      <c r="CR203" s="120"/>
      <c r="CS203" s="120"/>
      <c r="CT203" s="120"/>
      <c r="CU203" s="120"/>
      <c r="CV203" s="120"/>
      <c r="CW203" s="120"/>
      <c r="CX203" s="120"/>
      <c r="CY203" s="120"/>
      <c r="CZ203" s="120"/>
      <c r="DA203" s="120"/>
      <c r="DB203" s="120"/>
      <c r="DC203" s="120"/>
      <c r="DD203" s="120"/>
      <c r="DE203" s="120"/>
      <c r="DF203" s="120"/>
      <c r="DP203" s="120">
        <f t="shared" si="81"/>
        <v>97</v>
      </c>
      <c r="DR203" s="120">
        <v>2115</v>
      </c>
    </row>
    <row r="204" spans="1:122" ht="13.5">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c r="BR204" s="120"/>
      <c r="BS204" s="120"/>
      <c r="BT204" s="120"/>
      <c r="BU204" s="120"/>
      <c r="BV204" s="120"/>
      <c r="BW204" s="120"/>
      <c r="BX204" s="120"/>
      <c r="BY204" s="120"/>
      <c r="BZ204" s="120"/>
      <c r="CA204" s="120"/>
      <c r="CB204" s="120"/>
      <c r="CC204" s="120"/>
      <c r="CD204" s="120"/>
      <c r="CE204" s="120"/>
      <c r="CF204" s="120"/>
      <c r="CG204" s="120"/>
      <c r="CH204" s="120"/>
      <c r="CI204" s="120"/>
      <c r="CJ204" s="120"/>
      <c r="CK204" s="120"/>
      <c r="CL204" s="120"/>
      <c r="CM204" s="120"/>
      <c r="CN204" s="120"/>
      <c r="CO204" s="120"/>
      <c r="CP204" s="120"/>
      <c r="CQ204" s="120"/>
      <c r="CR204" s="120"/>
      <c r="CS204" s="120"/>
      <c r="CT204" s="120"/>
      <c r="CU204" s="120"/>
      <c r="CV204" s="120"/>
      <c r="CW204" s="120"/>
      <c r="CX204" s="120"/>
      <c r="CY204" s="120"/>
      <c r="CZ204" s="120"/>
      <c r="DA204" s="120"/>
      <c r="DB204" s="120"/>
      <c r="DC204" s="120"/>
      <c r="DD204" s="120"/>
      <c r="DE204" s="120"/>
      <c r="DF204" s="120"/>
      <c r="DP204" s="120">
        <f t="shared" si="81"/>
        <v>98</v>
      </c>
      <c r="DR204" s="120">
        <v>2116</v>
      </c>
    </row>
    <row r="205" spans="1:122" ht="13.5">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c r="BR205" s="120"/>
      <c r="BS205" s="120"/>
      <c r="BT205" s="120"/>
      <c r="BU205" s="120"/>
      <c r="BV205" s="120"/>
      <c r="BW205" s="120"/>
      <c r="BX205" s="120"/>
      <c r="BY205" s="120"/>
      <c r="BZ205" s="120"/>
      <c r="CA205" s="120"/>
      <c r="CB205" s="120"/>
      <c r="CC205" s="120"/>
      <c r="CD205" s="120"/>
      <c r="CE205" s="120"/>
      <c r="CF205" s="120"/>
      <c r="CG205" s="120"/>
      <c r="CH205" s="120"/>
      <c r="CI205" s="120"/>
      <c r="CJ205" s="120"/>
      <c r="CK205" s="120"/>
      <c r="CL205" s="120"/>
      <c r="CM205" s="120"/>
      <c r="CN205" s="120"/>
      <c r="CO205" s="120"/>
      <c r="CP205" s="120"/>
      <c r="CQ205" s="120"/>
      <c r="CR205" s="120"/>
      <c r="CS205" s="120"/>
      <c r="CT205" s="120"/>
      <c r="CU205" s="120"/>
      <c r="CV205" s="120"/>
      <c r="CW205" s="120"/>
      <c r="CX205" s="120"/>
      <c r="CY205" s="120"/>
      <c r="CZ205" s="120"/>
      <c r="DA205" s="120"/>
      <c r="DB205" s="120"/>
      <c r="DC205" s="120"/>
      <c r="DD205" s="120"/>
      <c r="DE205" s="120"/>
      <c r="DF205" s="120"/>
      <c r="DP205" s="120">
        <f t="shared" si="81"/>
        <v>99</v>
      </c>
      <c r="DR205" s="120">
        <v>2117</v>
      </c>
    </row>
    <row r="206" spans="1:122" ht="13.5">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20"/>
      <c r="BZ206" s="120"/>
      <c r="CA206" s="120"/>
      <c r="CB206" s="120"/>
      <c r="CC206" s="120"/>
      <c r="CD206" s="120"/>
      <c r="CE206" s="120"/>
      <c r="CF206" s="120"/>
      <c r="CG206" s="120"/>
      <c r="CH206" s="120"/>
      <c r="CI206" s="120"/>
      <c r="CJ206" s="120"/>
      <c r="CK206" s="120"/>
      <c r="CL206" s="120"/>
      <c r="CM206" s="120"/>
      <c r="CN206" s="120"/>
      <c r="CO206" s="120"/>
      <c r="CP206" s="120"/>
      <c r="CQ206" s="120"/>
      <c r="CR206" s="120"/>
      <c r="CS206" s="120"/>
      <c r="CT206" s="120"/>
      <c r="CU206" s="120"/>
      <c r="CV206" s="120"/>
      <c r="CW206" s="120"/>
      <c r="CX206" s="120"/>
      <c r="CY206" s="120"/>
      <c r="CZ206" s="120"/>
      <c r="DA206" s="120"/>
      <c r="DB206" s="120"/>
      <c r="DC206" s="120"/>
      <c r="DD206" s="120"/>
      <c r="DE206" s="120"/>
      <c r="DF206" s="120"/>
      <c r="DP206" s="120">
        <f t="shared" si="81"/>
        <v>100</v>
      </c>
      <c r="DR206" s="120">
        <v>2118</v>
      </c>
    </row>
    <row r="207" spans="1:110" ht="13.5">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0"/>
      <c r="BZ207" s="120"/>
      <c r="CA207" s="120"/>
      <c r="CB207" s="120"/>
      <c r="CC207" s="120"/>
      <c r="CD207" s="120"/>
      <c r="CE207" s="120"/>
      <c r="CF207" s="120"/>
      <c r="CG207" s="120"/>
      <c r="CH207" s="120"/>
      <c r="CI207" s="120"/>
      <c r="CJ207" s="120"/>
      <c r="CK207" s="120"/>
      <c r="CL207" s="120"/>
      <c r="CM207" s="120"/>
      <c r="CN207" s="120"/>
      <c r="CO207" s="120"/>
      <c r="CP207" s="120"/>
      <c r="CQ207" s="120"/>
      <c r="CR207" s="120"/>
      <c r="CS207" s="120"/>
      <c r="CT207" s="120"/>
      <c r="CU207" s="120"/>
      <c r="CV207" s="120"/>
      <c r="CW207" s="120"/>
      <c r="CX207" s="120"/>
      <c r="CY207" s="120"/>
      <c r="CZ207" s="120"/>
      <c r="DA207" s="120"/>
      <c r="DB207" s="120"/>
      <c r="DC207" s="120"/>
      <c r="DD207" s="120"/>
      <c r="DE207" s="120"/>
      <c r="DF207" s="120"/>
    </row>
    <row r="208" spans="1:110" ht="13.5">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0"/>
      <c r="BZ208" s="120"/>
      <c r="CA208" s="120"/>
      <c r="CB208" s="120"/>
      <c r="CC208" s="120"/>
      <c r="CD208" s="120"/>
      <c r="CE208" s="120"/>
      <c r="CF208" s="120"/>
      <c r="CG208" s="120"/>
      <c r="CH208" s="120"/>
      <c r="CI208" s="120"/>
      <c r="CJ208" s="120"/>
      <c r="CK208" s="120"/>
      <c r="CL208" s="120"/>
      <c r="CM208" s="120"/>
      <c r="CN208" s="120"/>
      <c r="CO208" s="120"/>
      <c r="CP208" s="120"/>
      <c r="CQ208" s="120"/>
      <c r="CR208" s="120"/>
      <c r="CS208" s="120"/>
      <c r="CT208" s="120"/>
      <c r="CU208" s="120"/>
      <c r="CV208" s="120"/>
      <c r="CW208" s="120"/>
      <c r="CX208" s="120"/>
      <c r="CY208" s="120"/>
      <c r="CZ208" s="120"/>
      <c r="DA208" s="120"/>
      <c r="DB208" s="120"/>
      <c r="DC208" s="120"/>
      <c r="DD208" s="120"/>
      <c r="DE208" s="120"/>
      <c r="DF208" s="120"/>
    </row>
    <row r="209" spans="1:110" ht="13.5">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120"/>
      <c r="BS209" s="120"/>
      <c r="BT209" s="120"/>
      <c r="BU209" s="120"/>
      <c r="BV209" s="120"/>
      <c r="BW209" s="120"/>
      <c r="BX209" s="120"/>
      <c r="BY209" s="120"/>
      <c r="BZ209" s="120"/>
      <c r="CA209" s="120"/>
      <c r="CB209" s="120"/>
      <c r="CC209" s="120"/>
      <c r="CD209" s="120"/>
      <c r="CE209" s="120"/>
      <c r="CF209" s="120"/>
      <c r="CG209" s="120"/>
      <c r="CH209" s="120"/>
      <c r="CI209" s="120"/>
      <c r="CJ209" s="120"/>
      <c r="CK209" s="120"/>
      <c r="CL209" s="120"/>
      <c r="CM209" s="120"/>
      <c r="CN209" s="120"/>
      <c r="CO209" s="120"/>
      <c r="CP209" s="120"/>
      <c r="CQ209" s="120"/>
      <c r="CR209" s="120"/>
      <c r="CS209" s="120"/>
      <c r="CT209" s="120"/>
      <c r="CU209" s="120"/>
      <c r="CV209" s="120"/>
      <c r="CW209" s="120"/>
      <c r="CX209" s="120"/>
      <c r="CY209" s="120"/>
      <c r="CZ209" s="120"/>
      <c r="DA209" s="120"/>
      <c r="DB209" s="120"/>
      <c r="DC209" s="120"/>
      <c r="DD209" s="120"/>
      <c r="DE209" s="120"/>
      <c r="DF209" s="120"/>
    </row>
    <row r="210" spans="1:110" ht="13.5">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c r="BR210" s="120"/>
      <c r="BS210" s="120"/>
      <c r="BT210" s="120"/>
      <c r="BU210" s="120"/>
      <c r="BV210" s="120"/>
      <c r="BW210" s="120"/>
      <c r="BX210" s="120"/>
      <c r="BY210" s="120"/>
      <c r="BZ210" s="120"/>
      <c r="CA210" s="120"/>
      <c r="CB210" s="120"/>
      <c r="CC210" s="120"/>
      <c r="CD210" s="120"/>
      <c r="CE210" s="120"/>
      <c r="CF210" s="120"/>
      <c r="CG210" s="120"/>
      <c r="CH210" s="120"/>
      <c r="CI210" s="120"/>
      <c r="CJ210" s="120"/>
      <c r="CK210" s="120"/>
      <c r="CL210" s="120"/>
      <c r="CM210" s="120"/>
      <c r="CN210" s="120"/>
      <c r="CO210" s="120"/>
      <c r="CP210" s="120"/>
      <c r="CQ210" s="120"/>
      <c r="CR210" s="120"/>
      <c r="CS210" s="120"/>
      <c r="CT210" s="120"/>
      <c r="CU210" s="120"/>
      <c r="CV210" s="120"/>
      <c r="CW210" s="120"/>
      <c r="CX210" s="120"/>
      <c r="CY210" s="120"/>
      <c r="CZ210" s="120"/>
      <c r="DA210" s="120"/>
      <c r="DB210" s="120"/>
      <c r="DC210" s="120"/>
      <c r="DD210" s="120"/>
      <c r="DE210" s="120"/>
      <c r="DF210" s="120"/>
    </row>
    <row r="211" spans="1:110" ht="13.5">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c r="BR211" s="120"/>
      <c r="BS211" s="120"/>
      <c r="BT211" s="120"/>
      <c r="BU211" s="120"/>
      <c r="BV211" s="120"/>
      <c r="BW211" s="120"/>
      <c r="BX211" s="120"/>
      <c r="BY211" s="120"/>
      <c r="BZ211" s="120"/>
      <c r="CA211" s="120"/>
      <c r="CB211" s="120"/>
      <c r="CC211" s="120"/>
      <c r="CD211" s="120"/>
      <c r="CE211" s="120"/>
      <c r="CF211" s="120"/>
      <c r="CG211" s="120"/>
      <c r="CH211" s="120"/>
      <c r="CI211" s="120"/>
      <c r="CJ211" s="120"/>
      <c r="CK211" s="120"/>
      <c r="CL211" s="120"/>
      <c r="CM211" s="120"/>
      <c r="CN211" s="120"/>
      <c r="CO211" s="120"/>
      <c r="CP211" s="120"/>
      <c r="CQ211" s="120"/>
      <c r="CR211" s="120"/>
      <c r="CS211" s="120"/>
      <c r="CT211" s="120"/>
      <c r="CU211" s="120"/>
      <c r="CV211" s="120"/>
      <c r="CW211" s="120"/>
      <c r="CX211" s="120"/>
      <c r="CY211" s="120"/>
      <c r="CZ211" s="120"/>
      <c r="DA211" s="120"/>
      <c r="DB211" s="120"/>
      <c r="DC211" s="120"/>
      <c r="DD211" s="120"/>
      <c r="DE211" s="120"/>
      <c r="DF211" s="120"/>
    </row>
    <row r="212" spans="1:110" ht="13.5">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c r="BR212" s="120"/>
      <c r="BS212" s="120"/>
      <c r="BT212" s="120"/>
      <c r="BU212" s="120"/>
      <c r="BV212" s="120"/>
      <c r="BW212" s="120"/>
      <c r="BX212" s="120"/>
      <c r="BY212" s="120"/>
      <c r="BZ212" s="120"/>
      <c r="CA212" s="120"/>
      <c r="CB212" s="120"/>
      <c r="CC212" s="120"/>
      <c r="CD212" s="120"/>
      <c r="CE212" s="120"/>
      <c r="CF212" s="120"/>
      <c r="CG212" s="120"/>
      <c r="CH212" s="120"/>
      <c r="CI212" s="120"/>
      <c r="CJ212" s="120"/>
      <c r="CK212" s="120"/>
      <c r="CL212" s="120"/>
      <c r="CM212" s="120"/>
      <c r="CN212" s="120"/>
      <c r="CO212" s="120"/>
      <c r="CP212" s="120"/>
      <c r="CQ212" s="120"/>
      <c r="CR212" s="120"/>
      <c r="CS212" s="120"/>
      <c r="CT212" s="120"/>
      <c r="CU212" s="120"/>
      <c r="CV212" s="120"/>
      <c r="CW212" s="120"/>
      <c r="CX212" s="120"/>
      <c r="CY212" s="120"/>
      <c r="CZ212" s="120"/>
      <c r="DA212" s="120"/>
      <c r="DB212" s="120"/>
      <c r="DC212" s="120"/>
      <c r="DD212" s="120"/>
      <c r="DE212" s="120"/>
      <c r="DF212" s="120"/>
    </row>
    <row r="213" spans="1:110" ht="13.5">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c r="CL213" s="120"/>
      <c r="CM213" s="120"/>
      <c r="CN213" s="120"/>
      <c r="CO213" s="120"/>
      <c r="CP213" s="120"/>
      <c r="CQ213" s="120"/>
      <c r="CR213" s="120"/>
      <c r="CS213" s="120"/>
      <c r="CT213" s="120"/>
      <c r="CU213" s="120"/>
      <c r="CV213" s="120"/>
      <c r="CW213" s="120"/>
      <c r="CX213" s="120"/>
      <c r="CY213" s="120"/>
      <c r="CZ213" s="120"/>
      <c r="DA213" s="120"/>
      <c r="DB213" s="120"/>
      <c r="DC213" s="120"/>
      <c r="DD213" s="120"/>
      <c r="DE213" s="120"/>
      <c r="DF213" s="120"/>
    </row>
    <row r="214" spans="1:110" ht="13.5">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c r="BT214" s="120"/>
      <c r="BU214" s="120"/>
      <c r="BV214" s="120"/>
      <c r="BW214" s="120"/>
      <c r="BX214" s="120"/>
      <c r="BY214" s="120"/>
      <c r="BZ214" s="120"/>
      <c r="CA214" s="120"/>
      <c r="CB214" s="120"/>
      <c r="CC214" s="120"/>
      <c r="CD214" s="120"/>
      <c r="CE214" s="120"/>
      <c r="CF214" s="120"/>
      <c r="CG214" s="120"/>
      <c r="CH214" s="120"/>
      <c r="CI214" s="120"/>
      <c r="CJ214" s="120"/>
      <c r="CK214" s="120"/>
      <c r="CL214" s="120"/>
      <c r="CM214" s="120"/>
      <c r="CN214" s="120"/>
      <c r="CO214" s="120"/>
      <c r="CP214" s="120"/>
      <c r="CQ214" s="120"/>
      <c r="CR214" s="120"/>
      <c r="CS214" s="120"/>
      <c r="CT214" s="120"/>
      <c r="CU214" s="120"/>
      <c r="CV214" s="120"/>
      <c r="CW214" s="120"/>
      <c r="CX214" s="120"/>
      <c r="CY214" s="120"/>
      <c r="CZ214" s="120"/>
      <c r="DA214" s="120"/>
      <c r="DB214" s="120"/>
      <c r="DC214" s="120"/>
      <c r="DD214" s="120"/>
      <c r="DE214" s="120"/>
      <c r="DF214" s="120"/>
    </row>
    <row r="215" spans="1:110" ht="13.5">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BR215" s="120"/>
      <c r="BS215" s="120"/>
      <c r="BT215" s="120"/>
      <c r="BU215" s="120"/>
      <c r="BV215" s="120"/>
      <c r="BW215" s="120"/>
      <c r="BX215" s="120"/>
      <c r="BY215" s="120"/>
      <c r="BZ215" s="120"/>
      <c r="CA215" s="120"/>
      <c r="CB215" s="120"/>
      <c r="CC215" s="120"/>
      <c r="CD215" s="120"/>
      <c r="CE215" s="120"/>
      <c r="CF215" s="120"/>
      <c r="CG215" s="120"/>
      <c r="CH215" s="120"/>
      <c r="CI215" s="120"/>
      <c r="CJ215" s="120"/>
      <c r="CK215" s="120"/>
      <c r="CL215" s="120"/>
      <c r="CM215" s="120"/>
      <c r="CN215" s="120"/>
      <c r="CO215" s="120"/>
      <c r="CP215" s="120"/>
      <c r="CQ215" s="120"/>
      <c r="CR215" s="120"/>
      <c r="CS215" s="120"/>
      <c r="CT215" s="120"/>
      <c r="CU215" s="120"/>
      <c r="CV215" s="120"/>
      <c r="CW215" s="120"/>
      <c r="CX215" s="120"/>
      <c r="CY215" s="120"/>
      <c r="CZ215" s="120"/>
      <c r="DA215" s="120"/>
      <c r="DB215" s="120"/>
      <c r="DC215" s="120"/>
      <c r="DD215" s="120"/>
      <c r="DE215" s="120"/>
      <c r="DF215" s="120"/>
    </row>
    <row r="216" spans="1:110" ht="13.5">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c r="BT216" s="120"/>
      <c r="BU216" s="120"/>
      <c r="BV216" s="120"/>
      <c r="BW216" s="120"/>
      <c r="BX216" s="120"/>
      <c r="BY216" s="120"/>
      <c r="BZ216" s="120"/>
      <c r="CA216" s="120"/>
      <c r="CB216" s="120"/>
      <c r="CC216" s="120"/>
      <c r="CD216" s="120"/>
      <c r="CE216" s="120"/>
      <c r="CF216" s="120"/>
      <c r="CG216" s="120"/>
      <c r="CH216" s="120"/>
      <c r="CI216" s="120"/>
      <c r="CJ216" s="120"/>
      <c r="CK216" s="120"/>
      <c r="CL216" s="120"/>
      <c r="CM216" s="120"/>
      <c r="CN216" s="120"/>
      <c r="CO216" s="120"/>
      <c r="CP216" s="120"/>
      <c r="CQ216" s="120"/>
      <c r="CR216" s="120"/>
      <c r="CS216" s="120"/>
      <c r="CT216" s="120"/>
      <c r="CU216" s="120"/>
      <c r="CV216" s="120"/>
      <c r="CW216" s="120"/>
      <c r="CX216" s="120"/>
      <c r="CY216" s="120"/>
      <c r="CZ216" s="120"/>
      <c r="DA216" s="120"/>
      <c r="DB216" s="120"/>
      <c r="DC216" s="120"/>
      <c r="DD216" s="120"/>
      <c r="DE216" s="120"/>
      <c r="DF216" s="120"/>
    </row>
    <row r="217" spans="1:110" ht="13.5">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c r="BR217" s="120"/>
      <c r="BS217" s="120"/>
      <c r="BT217" s="120"/>
      <c r="BU217" s="120"/>
      <c r="BV217" s="120"/>
      <c r="BW217" s="120"/>
      <c r="BX217" s="120"/>
      <c r="BY217" s="120"/>
      <c r="BZ217" s="120"/>
      <c r="CA217" s="120"/>
      <c r="CB217" s="120"/>
      <c r="CC217" s="120"/>
      <c r="CD217" s="120"/>
      <c r="CE217" s="120"/>
      <c r="CF217" s="120"/>
      <c r="CG217" s="120"/>
      <c r="CH217" s="120"/>
      <c r="CI217" s="120"/>
      <c r="CJ217" s="120"/>
      <c r="CK217" s="120"/>
      <c r="CL217" s="120"/>
      <c r="CM217" s="120"/>
      <c r="CN217" s="120"/>
      <c r="CO217" s="120"/>
      <c r="CP217" s="120"/>
      <c r="CQ217" s="120"/>
      <c r="CR217" s="120"/>
      <c r="CS217" s="120"/>
      <c r="CT217" s="120"/>
      <c r="CU217" s="120"/>
      <c r="CV217" s="120"/>
      <c r="CW217" s="120"/>
      <c r="CX217" s="120"/>
      <c r="CY217" s="120"/>
      <c r="CZ217" s="120"/>
      <c r="DA217" s="120"/>
      <c r="DB217" s="120"/>
      <c r="DC217" s="120"/>
      <c r="DD217" s="120"/>
      <c r="DE217" s="120"/>
      <c r="DF217" s="120"/>
    </row>
    <row r="218" spans="1:110" ht="13.5">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c r="BR218" s="120"/>
      <c r="BS218" s="120"/>
      <c r="BT218" s="120"/>
      <c r="BU218" s="120"/>
      <c r="BV218" s="120"/>
      <c r="BW218" s="120"/>
      <c r="BX218" s="120"/>
      <c r="BY218" s="120"/>
      <c r="BZ218" s="120"/>
      <c r="CA218" s="120"/>
      <c r="CB218" s="120"/>
      <c r="CC218" s="120"/>
      <c r="CD218" s="120"/>
      <c r="CE218" s="120"/>
      <c r="CF218" s="120"/>
      <c r="CG218" s="120"/>
      <c r="CH218" s="120"/>
      <c r="CI218" s="120"/>
      <c r="CJ218" s="120"/>
      <c r="CK218" s="120"/>
      <c r="CL218" s="120"/>
      <c r="CM218" s="120"/>
      <c r="CN218" s="120"/>
      <c r="CO218" s="120"/>
      <c r="CP218" s="120"/>
      <c r="CQ218" s="120"/>
      <c r="CR218" s="120"/>
      <c r="CS218" s="120"/>
      <c r="CT218" s="120"/>
      <c r="CU218" s="120"/>
      <c r="CV218" s="120"/>
      <c r="CW218" s="120"/>
      <c r="CX218" s="120"/>
      <c r="CY218" s="120"/>
      <c r="CZ218" s="120"/>
      <c r="DA218" s="120"/>
      <c r="DB218" s="120"/>
      <c r="DC218" s="120"/>
      <c r="DD218" s="120"/>
      <c r="DE218" s="120"/>
      <c r="DF218" s="120"/>
    </row>
    <row r="219" spans="1:110" ht="13.5">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c r="DF219" s="120"/>
    </row>
    <row r="220" spans="1:110" ht="13.5">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c r="BR220" s="120"/>
      <c r="BS220" s="120"/>
      <c r="BT220" s="120"/>
      <c r="BU220" s="120"/>
      <c r="BV220" s="120"/>
      <c r="BW220" s="120"/>
      <c r="BX220" s="120"/>
      <c r="BY220" s="120"/>
      <c r="BZ220" s="120"/>
      <c r="CA220" s="120"/>
      <c r="CB220" s="120"/>
      <c r="CC220" s="120"/>
      <c r="CD220" s="120"/>
      <c r="CE220" s="120"/>
      <c r="CF220" s="120"/>
      <c r="CG220" s="120"/>
      <c r="CH220" s="120"/>
      <c r="CI220" s="120"/>
      <c r="CJ220" s="120"/>
      <c r="CK220" s="120"/>
      <c r="CL220" s="120"/>
      <c r="CM220" s="120"/>
      <c r="CN220" s="120"/>
      <c r="CO220" s="120"/>
      <c r="CP220" s="120"/>
      <c r="CQ220" s="120"/>
      <c r="CR220" s="120"/>
      <c r="CS220" s="120"/>
      <c r="CT220" s="120"/>
      <c r="CU220" s="120"/>
      <c r="CV220" s="120"/>
      <c r="CW220" s="120"/>
      <c r="CX220" s="120"/>
      <c r="CY220" s="120"/>
      <c r="CZ220" s="120"/>
      <c r="DA220" s="120"/>
      <c r="DB220" s="120"/>
      <c r="DC220" s="120"/>
      <c r="DD220" s="120"/>
      <c r="DE220" s="120"/>
      <c r="DF220" s="120"/>
    </row>
    <row r="221" spans="1:110" ht="13.5">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0"/>
      <c r="CM221" s="120"/>
      <c r="CN221" s="120"/>
      <c r="CO221" s="120"/>
      <c r="CP221" s="120"/>
      <c r="CQ221" s="120"/>
      <c r="CR221" s="120"/>
      <c r="CS221" s="120"/>
      <c r="CT221" s="120"/>
      <c r="CU221" s="120"/>
      <c r="CV221" s="120"/>
      <c r="CW221" s="120"/>
      <c r="CX221" s="120"/>
      <c r="CY221" s="120"/>
      <c r="CZ221" s="120"/>
      <c r="DA221" s="120"/>
      <c r="DB221" s="120"/>
      <c r="DC221" s="120"/>
      <c r="DD221" s="120"/>
      <c r="DE221" s="120"/>
      <c r="DF221" s="120"/>
    </row>
    <row r="222" spans="1:110" ht="13.5">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c r="DF222" s="120"/>
    </row>
    <row r="223" spans="1:110" ht="13.5">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0"/>
      <c r="BX223" s="120"/>
      <c r="BY223" s="120"/>
      <c r="BZ223" s="120"/>
      <c r="CA223" s="120"/>
      <c r="CB223" s="120"/>
      <c r="CC223" s="120"/>
      <c r="CD223" s="120"/>
      <c r="CE223" s="120"/>
      <c r="CF223" s="120"/>
      <c r="CG223" s="120"/>
      <c r="CH223" s="120"/>
      <c r="CI223" s="120"/>
      <c r="CJ223" s="120"/>
      <c r="CK223" s="120"/>
      <c r="CL223" s="120"/>
      <c r="CM223" s="120"/>
      <c r="CN223" s="120"/>
      <c r="CO223" s="120"/>
      <c r="CP223" s="120"/>
      <c r="CQ223" s="120"/>
      <c r="CR223" s="120"/>
      <c r="CS223" s="120"/>
      <c r="CT223" s="120"/>
      <c r="CU223" s="120"/>
      <c r="CV223" s="120"/>
      <c r="CW223" s="120"/>
      <c r="CX223" s="120"/>
      <c r="CY223" s="120"/>
      <c r="CZ223" s="120"/>
      <c r="DA223" s="120"/>
      <c r="DB223" s="120"/>
      <c r="DC223" s="120"/>
      <c r="DD223" s="120"/>
      <c r="DE223" s="120"/>
      <c r="DF223" s="120"/>
    </row>
    <row r="224" spans="1:110" ht="13.5">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c r="BR224" s="120"/>
      <c r="BS224" s="120"/>
      <c r="BT224" s="120"/>
      <c r="BU224" s="120"/>
      <c r="BV224" s="120"/>
      <c r="BW224" s="120"/>
      <c r="BX224" s="120"/>
      <c r="BY224" s="120"/>
      <c r="BZ224" s="120"/>
      <c r="CA224" s="120"/>
      <c r="CB224" s="120"/>
      <c r="CC224" s="120"/>
      <c r="CD224" s="120"/>
      <c r="CE224" s="120"/>
      <c r="CF224" s="120"/>
      <c r="CG224" s="120"/>
      <c r="CH224" s="120"/>
      <c r="CI224" s="120"/>
      <c r="CJ224" s="120"/>
      <c r="CK224" s="120"/>
      <c r="CL224" s="120"/>
      <c r="CM224" s="120"/>
      <c r="CN224" s="120"/>
      <c r="CO224" s="120"/>
      <c r="CP224" s="120"/>
      <c r="CQ224" s="120"/>
      <c r="CR224" s="120"/>
      <c r="CS224" s="120"/>
      <c r="CT224" s="120"/>
      <c r="CU224" s="120"/>
      <c r="CV224" s="120"/>
      <c r="CW224" s="120"/>
      <c r="CX224" s="120"/>
      <c r="CY224" s="120"/>
      <c r="CZ224" s="120"/>
      <c r="DA224" s="120"/>
      <c r="DB224" s="120"/>
      <c r="DC224" s="120"/>
      <c r="DD224" s="120"/>
      <c r="DE224" s="120"/>
      <c r="DF224" s="120"/>
    </row>
    <row r="225" spans="1:110" ht="13.5">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c r="CU225" s="120"/>
      <c r="CV225" s="120"/>
      <c r="CW225" s="120"/>
      <c r="CX225" s="120"/>
      <c r="CY225" s="120"/>
      <c r="CZ225" s="120"/>
      <c r="DA225" s="120"/>
      <c r="DB225" s="120"/>
      <c r="DC225" s="120"/>
      <c r="DD225" s="120"/>
      <c r="DE225" s="120"/>
      <c r="DF225" s="120"/>
    </row>
    <row r="226" spans="1:110" ht="13.5">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c r="BR226" s="120"/>
      <c r="BS226" s="120"/>
      <c r="BT226" s="120"/>
      <c r="BU226" s="120"/>
      <c r="BV226" s="120"/>
      <c r="BW226" s="120"/>
      <c r="BX226" s="120"/>
      <c r="BY226" s="120"/>
      <c r="BZ226" s="120"/>
      <c r="CA226" s="120"/>
      <c r="CB226" s="120"/>
      <c r="CC226" s="120"/>
      <c r="CD226" s="120"/>
      <c r="CE226" s="120"/>
      <c r="CF226" s="120"/>
      <c r="CG226" s="120"/>
      <c r="CH226" s="120"/>
      <c r="CI226" s="120"/>
      <c r="CJ226" s="120"/>
      <c r="CK226" s="120"/>
      <c r="CL226" s="120"/>
      <c r="CM226" s="120"/>
      <c r="CN226" s="120"/>
      <c r="CO226" s="120"/>
      <c r="CP226" s="120"/>
      <c r="CQ226" s="120"/>
      <c r="CR226" s="120"/>
      <c r="CS226" s="120"/>
      <c r="CT226" s="120"/>
      <c r="CU226" s="120"/>
      <c r="CV226" s="120"/>
      <c r="CW226" s="120"/>
      <c r="CX226" s="120"/>
      <c r="CY226" s="120"/>
      <c r="CZ226" s="120"/>
      <c r="DA226" s="120"/>
      <c r="DB226" s="120"/>
      <c r="DC226" s="120"/>
      <c r="DD226" s="120"/>
      <c r="DE226" s="120"/>
      <c r="DF226" s="120"/>
    </row>
    <row r="227" spans="1:110" ht="13.5">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c r="BR227" s="120"/>
      <c r="BS227" s="120"/>
      <c r="BT227" s="120"/>
      <c r="BU227" s="120"/>
      <c r="BV227" s="120"/>
      <c r="BW227" s="120"/>
      <c r="BX227" s="120"/>
      <c r="BY227" s="120"/>
      <c r="BZ227" s="120"/>
      <c r="CA227" s="120"/>
      <c r="CB227" s="120"/>
      <c r="CC227" s="120"/>
      <c r="CD227" s="120"/>
      <c r="CE227" s="120"/>
      <c r="CF227" s="120"/>
      <c r="CG227" s="120"/>
      <c r="CH227" s="120"/>
      <c r="CI227" s="120"/>
      <c r="CJ227" s="120"/>
      <c r="CK227" s="120"/>
      <c r="CL227" s="120"/>
      <c r="CM227" s="120"/>
      <c r="CN227" s="120"/>
      <c r="CO227" s="120"/>
      <c r="CP227" s="120"/>
      <c r="CQ227" s="120"/>
      <c r="CR227" s="120"/>
      <c r="CS227" s="120"/>
      <c r="CT227" s="120"/>
      <c r="CU227" s="120"/>
      <c r="CV227" s="120"/>
      <c r="CW227" s="120"/>
      <c r="CX227" s="120"/>
      <c r="CY227" s="120"/>
      <c r="CZ227" s="120"/>
      <c r="DA227" s="120"/>
      <c r="DB227" s="120"/>
      <c r="DC227" s="120"/>
      <c r="DD227" s="120"/>
      <c r="DE227" s="120"/>
      <c r="DF227" s="120"/>
    </row>
    <row r="228" spans="1:110" ht="13.5">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c r="BR228" s="120"/>
      <c r="BS228" s="120"/>
      <c r="BT228" s="120"/>
      <c r="BU228" s="120"/>
      <c r="BV228" s="120"/>
      <c r="BW228" s="120"/>
      <c r="BX228" s="120"/>
      <c r="BY228" s="120"/>
      <c r="BZ228" s="120"/>
      <c r="CA228" s="120"/>
      <c r="CB228" s="120"/>
      <c r="CC228" s="120"/>
      <c r="CD228" s="120"/>
      <c r="CE228" s="120"/>
      <c r="CF228" s="120"/>
      <c r="CG228" s="120"/>
      <c r="CH228" s="120"/>
      <c r="CI228" s="120"/>
      <c r="CJ228" s="120"/>
      <c r="CK228" s="120"/>
      <c r="CL228" s="120"/>
      <c r="CM228" s="120"/>
      <c r="CN228" s="120"/>
      <c r="CO228" s="120"/>
      <c r="CP228" s="120"/>
      <c r="CQ228" s="120"/>
      <c r="CR228" s="120"/>
      <c r="CS228" s="120"/>
      <c r="CT228" s="120"/>
      <c r="CU228" s="120"/>
      <c r="CV228" s="120"/>
      <c r="CW228" s="120"/>
      <c r="CX228" s="120"/>
      <c r="CY228" s="120"/>
      <c r="CZ228" s="120"/>
      <c r="DA228" s="120"/>
      <c r="DB228" s="120"/>
      <c r="DC228" s="120"/>
      <c r="DD228" s="120"/>
      <c r="DE228" s="120"/>
      <c r="DF228" s="120"/>
    </row>
    <row r="229" spans="1:110" ht="13.5">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c r="BR229" s="120"/>
      <c r="BS229" s="120"/>
      <c r="BT229" s="120"/>
      <c r="BU229" s="120"/>
      <c r="BV229" s="120"/>
      <c r="BW229" s="120"/>
      <c r="BX229" s="120"/>
      <c r="BY229" s="120"/>
      <c r="BZ229" s="120"/>
      <c r="CA229" s="120"/>
      <c r="CB229" s="120"/>
      <c r="CC229" s="120"/>
      <c r="CD229" s="120"/>
      <c r="CE229" s="120"/>
      <c r="CF229" s="120"/>
      <c r="CG229" s="120"/>
      <c r="CH229" s="120"/>
      <c r="CI229" s="120"/>
      <c r="CJ229" s="120"/>
      <c r="CK229" s="120"/>
      <c r="CL229" s="120"/>
      <c r="CM229" s="120"/>
      <c r="CN229" s="120"/>
      <c r="CO229" s="120"/>
      <c r="CP229" s="120"/>
      <c r="CQ229" s="120"/>
      <c r="CR229" s="120"/>
      <c r="CS229" s="120"/>
      <c r="CT229" s="120"/>
      <c r="CU229" s="120"/>
      <c r="CV229" s="120"/>
      <c r="CW229" s="120"/>
      <c r="CX229" s="120"/>
      <c r="CY229" s="120"/>
      <c r="CZ229" s="120"/>
      <c r="DA229" s="120"/>
      <c r="DB229" s="120"/>
      <c r="DC229" s="120"/>
      <c r="DD229" s="120"/>
      <c r="DE229" s="120"/>
      <c r="DF229" s="120"/>
    </row>
    <row r="230" spans="1:110" ht="13.5">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c r="BR230" s="120"/>
      <c r="BS230" s="120"/>
      <c r="BT230" s="120"/>
      <c r="BU230" s="120"/>
      <c r="BV230" s="120"/>
      <c r="BW230" s="120"/>
      <c r="BX230" s="120"/>
      <c r="BY230" s="120"/>
      <c r="BZ230" s="120"/>
      <c r="CA230" s="120"/>
      <c r="CB230" s="120"/>
      <c r="CC230" s="120"/>
      <c r="CD230" s="120"/>
      <c r="CE230" s="120"/>
      <c r="CF230" s="120"/>
      <c r="CG230" s="120"/>
      <c r="CH230" s="120"/>
      <c r="CI230" s="120"/>
      <c r="CJ230" s="120"/>
      <c r="CK230" s="120"/>
      <c r="CL230" s="120"/>
      <c r="CM230" s="120"/>
      <c r="CN230" s="120"/>
      <c r="CO230" s="120"/>
      <c r="CP230" s="120"/>
      <c r="CQ230" s="120"/>
      <c r="CR230" s="120"/>
      <c r="CS230" s="120"/>
      <c r="CT230" s="120"/>
      <c r="CU230" s="120"/>
      <c r="CV230" s="120"/>
      <c r="CW230" s="120"/>
      <c r="CX230" s="120"/>
      <c r="CY230" s="120"/>
      <c r="CZ230" s="120"/>
      <c r="DA230" s="120"/>
      <c r="DB230" s="120"/>
      <c r="DC230" s="120"/>
      <c r="DD230" s="120"/>
      <c r="DE230" s="120"/>
      <c r="DF230" s="120"/>
    </row>
    <row r="231" spans="1:110" ht="13.5">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c r="BR231" s="120"/>
      <c r="BS231" s="120"/>
      <c r="BT231" s="120"/>
      <c r="BU231" s="120"/>
      <c r="BV231" s="120"/>
      <c r="BW231" s="120"/>
      <c r="BX231" s="120"/>
      <c r="BY231" s="120"/>
      <c r="BZ231" s="120"/>
      <c r="CA231" s="120"/>
      <c r="CB231" s="120"/>
      <c r="CC231" s="120"/>
      <c r="CD231" s="120"/>
      <c r="CE231" s="120"/>
      <c r="CF231" s="120"/>
      <c r="CG231" s="120"/>
      <c r="CH231" s="120"/>
      <c r="CI231" s="120"/>
      <c r="CJ231" s="120"/>
      <c r="CK231" s="120"/>
      <c r="CL231" s="120"/>
      <c r="CM231" s="120"/>
      <c r="CN231" s="120"/>
      <c r="CO231" s="120"/>
      <c r="CP231" s="120"/>
      <c r="CQ231" s="120"/>
      <c r="CR231" s="120"/>
      <c r="CS231" s="120"/>
      <c r="CT231" s="120"/>
      <c r="CU231" s="120"/>
      <c r="CV231" s="120"/>
      <c r="CW231" s="120"/>
      <c r="CX231" s="120"/>
      <c r="CY231" s="120"/>
      <c r="CZ231" s="120"/>
      <c r="DA231" s="120"/>
      <c r="DB231" s="120"/>
      <c r="DC231" s="120"/>
      <c r="DD231" s="120"/>
      <c r="DE231" s="120"/>
      <c r="DF231" s="120"/>
    </row>
    <row r="232" spans="1:110" ht="13.5">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c r="BR232" s="120"/>
      <c r="BS232" s="120"/>
      <c r="BT232" s="120"/>
      <c r="BU232" s="120"/>
      <c r="BV232" s="120"/>
      <c r="BW232" s="120"/>
      <c r="BX232" s="120"/>
      <c r="BY232" s="120"/>
      <c r="BZ232" s="120"/>
      <c r="CA232" s="120"/>
      <c r="CB232" s="120"/>
      <c r="CC232" s="120"/>
      <c r="CD232" s="120"/>
      <c r="CE232" s="120"/>
      <c r="CF232" s="120"/>
      <c r="CG232" s="120"/>
      <c r="CH232" s="120"/>
      <c r="CI232" s="120"/>
      <c r="CJ232" s="120"/>
      <c r="CK232" s="120"/>
      <c r="CL232" s="120"/>
      <c r="CM232" s="120"/>
      <c r="CN232" s="120"/>
      <c r="CO232" s="120"/>
      <c r="CP232" s="120"/>
      <c r="CQ232" s="120"/>
      <c r="CR232" s="120"/>
      <c r="CS232" s="120"/>
      <c r="CT232" s="120"/>
      <c r="CU232" s="120"/>
      <c r="CV232" s="120"/>
      <c r="CW232" s="120"/>
      <c r="CX232" s="120"/>
      <c r="CY232" s="120"/>
      <c r="CZ232" s="120"/>
      <c r="DA232" s="120"/>
      <c r="DB232" s="120"/>
      <c r="DC232" s="120"/>
      <c r="DD232" s="120"/>
      <c r="DE232" s="120"/>
      <c r="DF232" s="120"/>
    </row>
    <row r="233" spans="1:110" ht="13.5">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c r="BR233" s="120"/>
      <c r="BS233" s="120"/>
      <c r="BT233" s="120"/>
      <c r="BU233" s="120"/>
      <c r="BV233" s="120"/>
      <c r="BW233" s="120"/>
      <c r="BX233" s="120"/>
      <c r="BY233" s="120"/>
      <c r="BZ233" s="120"/>
      <c r="CA233" s="120"/>
      <c r="CB233" s="120"/>
      <c r="CC233" s="120"/>
      <c r="CD233" s="120"/>
      <c r="CE233" s="120"/>
      <c r="CF233" s="120"/>
      <c r="CG233" s="120"/>
      <c r="CH233" s="120"/>
      <c r="CI233" s="120"/>
      <c r="CJ233" s="120"/>
      <c r="CK233" s="120"/>
      <c r="CL233" s="120"/>
      <c r="CM233" s="120"/>
      <c r="CN233" s="120"/>
      <c r="CO233" s="120"/>
      <c r="CP233" s="120"/>
      <c r="CQ233" s="120"/>
      <c r="CR233" s="120"/>
      <c r="CS233" s="120"/>
      <c r="CT233" s="120"/>
      <c r="CU233" s="120"/>
      <c r="CV233" s="120"/>
      <c r="CW233" s="120"/>
      <c r="CX233" s="120"/>
      <c r="CY233" s="120"/>
      <c r="CZ233" s="120"/>
      <c r="DA233" s="120"/>
      <c r="DB233" s="120"/>
      <c r="DC233" s="120"/>
      <c r="DD233" s="120"/>
      <c r="DE233" s="120"/>
      <c r="DF233" s="120"/>
    </row>
    <row r="234" spans="1:110" ht="13.5">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c r="BR234" s="120"/>
      <c r="BS234" s="120"/>
      <c r="BT234" s="120"/>
      <c r="BU234" s="120"/>
      <c r="BV234" s="120"/>
      <c r="BW234" s="120"/>
      <c r="BX234" s="120"/>
      <c r="BY234" s="120"/>
      <c r="BZ234" s="120"/>
      <c r="CA234" s="120"/>
      <c r="CB234" s="120"/>
      <c r="CC234" s="120"/>
      <c r="CD234" s="120"/>
      <c r="CE234" s="120"/>
      <c r="CF234" s="120"/>
      <c r="CG234" s="120"/>
      <c r="CH234" s="120"/>
      <c r="CI234" s="120"/>
      <c r="CJ234" s="120"/>
      <c r="CK234" s="120"/>
      <c r="CL234" s="120"/>
      <c r="CM234" s="120"/>
      <c r="CN234" s="120"/>
      <c r="CO234" s="120"/>
      <c r="CP234" s="120"/>
      <c r="CQ234" s="120"/>
      <c r="CR234" s="120"/>
      <c r="CS234" s="120"/>
      <c r="CT234" s="120"/>
      <c r="CU234" s="120"/>
      <c r="CV234" s="120"/>
      <c r="CW234" s="120"/>
      <c r="CX234" s="120"/>
      <c r="CY234" s="120"/>
      <c r="CZ234" s="120"/>
      <c r="DA234" s="120"/>
      <c r="DB234" s="120"/>
      <c r="DC234" s="120"/>
      <c r="DD234" s="120"/>
      <c r="DE234" s="120"/>
      <c r="DF234" s="120"/>
    </row>
    <row r="235" spans="1:110" ht="13.5">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c r="BR235" s="120"/>
      <c r="BS235" s="120"/>
      <c r="BT235" s="120"/>
      <c r="BU235" s="120"/>
      <c r="BV235" s="120"/>
      <c r="BW235" s="120"/>
      <c r="BX235" s="120"/>
      <c r="BY235" s="120"/>
      <c r="BZ235" s="120"/>
      <c r="CA235" s="120"/>
      <c r="CB235" s="120"/>
      <c r="CC235" s="120"/>
      <c r="CD235" s="120"/>
      <c r="CE235" s="120"/>
      <c r="CF235" s="120"/>
      <c r="CG235" s="120"/>
      <c r="CH235" s="120"/>
      <c r="CI235" s="120"/>
      <c r="CJ235" s="120"/>
      <c r="CK235" s="120"/>
      <c r="CL235" s="120"/>
      <c r="CM235" s="120"/>
      <c r="CN235" s="120"/>
      <c r="CO235" s="120"/>
      <c r="CP235" s="120"/>
      <c r="CQ235" s="120"/>
      <c r="CR235" s="120"/>
      <c r="CS235" s="120"/>
      <c r="CT235" s="120"/>
      <c r="CU235" s="120"/>
      <c r="CV235" s="120"/>
      <c r="CW235" s="120"/>
      <c r="CX235" s="120"/>
      <c r="CY235" s="120"/>
      <c r="CZ235" s="120"/>
      <c r="DA235" s="120"/>
      <c r="DB235" s="120"/>
      <c r="DC235" s="120"/>
      <c r="DD235" s="120"/>
      <c r="DE235" s="120"/>
      <c r="DF235" s="120"/>
    </row>
    <row r="236" spans="1:110" ht="13.5">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c r="BR236" s="120"/>
      <c r="BS236" s="120"/>
      <c r="BT236" s="120"/>
      <c r="BU236" s="120"/>
      <c r="BV236" s="120"/>
      <c r="BW236" s="120"/>
      <c r="BX236" s="120"/>
      <c r="BY236" s="120"/>
      <c r="BZ236" s="120"/>
      <c r="CA236" s="120"/>
      <c r="CB236" s="120"/>
      <c r="CC236" s="120"/>
      <c r="CD236" s="120"/>
      <c r="CE236" s="120"/>
      <c r="CF236" s="120"/>
      <c r="CG236" s="120"/>
      <c r="CH236" s="120"/>
      <c r="CI236" s="120"/>
      <c r="CJ236" s="120"/>
      <c r="CK236" s="120"/>
      <c r="CL236" s="120"/>
      <c r="CM236" s="120"/>
      <c r="CN236" s="120"/>
      <c r="CO236" s="120"/>
      <c r="CP236" s="120"/>
      <c r="CQ236" s="120"/>
      <c r="CR236" s="120"/>
      <c r="CS236" s="120"/>
      <c r="CT236" s="120"/>
      <c r="CU236" s="120"/>
      <c r="CV236" s="120"/>
      <c r="CW236" s="120"/>
      <c r="CX236" s="120"/>
      <c r="CY236" s="120"/>
      <c r="CZ236" s="120"/>
      <c r="DA236" s="120"/>
      <c r="DB236" s="120"/>
      <c r="DC236" s="120"/>
      <c r="DD236" s="120"/>
      <c r="DE236" s="120"/>
      <c r="DF236" s="120"/>
    </row>
    <row r="237" ht="13.5">
      <c r="A237" s="120"/>
    </row>
    <row r="238" ht="13.5">
      <c r="A238" s="120"/>
    </row>
  </sheetData>
  <sheetProtection password="E947" sheet="1" formatCells="0"/>
  <protectedRanges>
    <protectedRange sqref="E7" name="範囲1"/>
  </protectedRanges>
  <mergeCells count="66">
    <mergeCell ref="C153:D153"/>
    <mergeCell ref="E153:F153"/>
    <mergeCell ref="H153:I153"/>
    <mergeCell ref="J153:K153"/>
    <mergeCell ref="C154:D154"/>
    <mergeCell ref="E154:F154"/>
    <mergeCell ref="H154:I154"/>
    <mergeCell ref="J154:K154"/>
    <mergeCell ref="C151:D151"/>
    <mergeCell ref="E151:F151"/>
    <mergeCell ref="H151:I151"/>
    <mergeCell ref="J151:K151"/>
    <mergeCell ref="C152:D152"/>
    <mergeCell ref="E152:F152"/>
    <mergeCell ref="H152:I152"/>
    <mergeCell ref="J152:K152"/>
    <mergeCell ref="H144:I144"/>
    <mergeCell ref="J144:K144"/>
    <mergeCell ref="C147:D147"/>
    <mergeCell ref="E147:F147"/>
    <mergeCell ref="H147:I147"/>
    <mergeCell ref="J147:K147"/>
    <mergeCell ref="H145:I145"/>
    <mergeCell ref="H146:I146"/>
    <mergeCell ref="J145:K145"/>
    <mergeCell ref="J146:K146"/>
    <mergeCell ref="E144:F144"/>
    <mergeCell ref="C144:D144"/>
    <mergeCell ref="C145:D145"/>
    <mergeCell ref="C146:D146"/>
    <mergeCell ref="E145:F145"/>
    <mergeCell ref="E146:F146"/>
    <mergeCell ref="D5:D6"/>
    <mergeCell ref="J105:M105"/>
    <mergeCell ref="A109:A110"/>
    <mergeCell ref="B107:B108"/>
    <mergeCell ref="C107:C108"/>
    <mergeCell ref="D107:D108"/>
    <mergeCell ref="E107:F108"/>
    <mergeCell ref="G107:G108"/>
    <mergeCell ref="H107:I107"/>
    <mergeCell ref="A38:A40"/>
    <mergeCell ref="B38:C38"/>
    <mergeCell ref="B39:C39"/>
    <mergeCell ref="B40:C40"/>
    <mergeCell ref="A5:A6"/>
    <mergeCell ref="B5:B6"/>
    <mergeCell ref="C5:C6"/>
    <mergeCell ref="CZ1:DB1"/>
    <mergeCell ref="CZ4:DA4"/>
    <mergeCell ref="CZ5:DA5"/>
    <mergeCell ref="X2:AB2"/>
    <mergeCell ref="J4:M4"/>
    <mergeCell ref="J5:J6"/>
    <mergeCell ref="K5:K6"/>
    <mergeCell ref="M5:M6"/>
    <mergeCell ref="D135:E135"/>
    <mergeCell ref="N5:O5"/>
    <mergeCell ref="J107:J108"/>
    <mergeCell ref="K107:K108"/>
    <mergeCell ref="E79:F79"/>
    <mergeCell ref="E5:F6"/>
    <mergeCell ref="G5:G6"/>
    <mergeCell ref="H5:I5"/>
    <mergeCell ref="M107:M108"/>
    <mergeCell ref="N107:O107"/>
  </mergeCells>
  <dataValidations count="21">
    <dataValidation type="textLength" allowBlank="1" showInputMessage="1" showErrorMessage="1" promptTitle="３年償却の入力欄" prompt="使用しないときは内容を&#10;削除してください。" errorTitle="名称入力欄は１６文字まで" error="入力された文字数が１６文字を超えました。&#10;１６文字以内で再入力してください。" imeMode="on" sqref="B38:C40">
      <formula1>1</formula1>
      <formula2>16</formula2>
    </dataValidation>
    <dataValidation type="list" allowBlank="1" showInputMessage="1" showErrorMessage="1" promptTitle="建物の選択" prompt="建物の場合は&#10;◎をそれ以外&#10;は空白を選択&#10;してください。&#10;" errorTitle="建物選択エラー" error="建物の場合は右側に表示されるているリスト&#10;ボタンの▼をクリックしてリストにある◎を選択&#10;してください。&#10;それ以外の場合は空白を選択してください。" imeMode="disabled" sqref="C109 C7:C37">
      <formula1>$C$1:$C$2</formula1>
    </dataValidation>
    <dataValidation type="textLength" allowBlank="1" showInputMessage="1" showErrorMessage="1" promptTitle="耐用年数入力不可" prompt="３年償却行です。&#10;耐用年数は入力&#10;できません。" errorTitle="耐用年数入力不可" error="３年償却です。耐用年数は入力できません。" imeMode="disabled" sqref="I38:I40">
      <formula1>0</formula1>
      <formula2>0</formula2>
    </dataValidation>
    <dataValidation type="textLength" allowBlank="1" showInputMessage="1" showErrorMessage="1" promptTitle="廃棄月入力不可" prompt="３年償却行です。&#10;廃棄月は入力&#10;できません。" errorTitle="廃棄月入力不可" error="３年償却です。廃棄月は入力できません。" imeMode="disabled" sqref="K38:L40 AM38:AM40">
      <formula1>0</formula1>
      <formula2>0</formula2>
    </dataValidation>
    <dataValidation type="decimal" allowBlank="1" showInputMessage="1" showErrorMessage="1" errorTitle="事業割合入力エラー" error="１から１００までの数字を入力してください。" imeMode="disabled" sqref="J109">
      <formula1>0.01</formula1>
      <formula2>1</formula2>
    </dataValidation>
    <dataValidation type="whole" allowBlank="1" showInputMessage="1" showErrorMessage="1" errorTitle="廃棄月入力エラー" error="１から１２までの数字を入力してください。" imeMode="disabled" sqref="K109 K7:K37 AM8:AM37">
      <formula1>1</formula1>
      <formula2>12</formula2>
    </dataValidation>
    <dataValidation type="whole" allowBlank="1" showInputMessage="1" showErrorMessage="1" errorTitle="取得月入力エラー" error="１から１２までの数字を入力してください。" imeMode="disabled" sqref="F109 F7:F40">
      <formula1>1</formula1>
      <formula2>12</formula2>
    </dataValidation>
    <dataValidation type="whole" allowBlank="1" showInputMessage="1" showErrorMessage="1" errorTitle="取得価額入力エラー" error="１０万円未満、２０万円以上の資産は&#10;３年償却できません。&#10;１０万円以上、２０万円未満の金額を&#10;入力してください。" imeMode="disabled" sqref="H38:H40">
      <formula1>100000</formula1>
      <formula2>199999</formula2>
    </dataValidation>
    <dataValidation type="whole" allowBlank="1" showInputMessage="1" showErrorMessage="1" errorTitle="取得価額入力エラー" error="１０万円以上、１０億円未満の&#10;金額を入力してください。" imeMode="disabled" sqref="G109 G7:G37">
      <formula1>100000</formula1>
      <formula2>999999999</formula2>
    </dataValidation>
    <dataValidation type="textLength" allowBlank="1" showInputMessage="1" showErrorMessage="1" promptTitle="氏名入力欄" prompt="２４文字以内で&#10;氏名を入力して&#10;ください。" errorTitle="氏名入力欄は２４文字まで" error="入力された文字数が２４文字を超えました。&#10;２４文字以内で再入力してください。" imeMode="on" sqref="J105:J106 J4 AN4:AS4">
      <formula1>0</formula1>
      <formula2>24</formula2>
    </dataValidation>
    <dataValidation type="textLength" allowBlank="1" showInputMessage="1" showErrorMessage="1" errorTitle="面積数量欄入力エラー" error="文字数は６文字までです。&#10;半角で入力してください。" imeMode="off" sqref="D18:D40 D8:D16">
      <formula1>0</formula1>
      <formula2>6</formula2>
    </dataValidation>
    <dataValidation type="textLength" allowBlank="1" showInputMessage="1" showErrorMessage="1" errorTitle="名称入力欄は１６文字まで" error="入力された文字数が１６文字を超えました。&#10;１６文字以内で再入力してください。" imeMode="on" sqref="B8:B37">
      <formula1>1</formula1>
      <formula2>16</formula2>
    </dataValidation>
    <dataValidation type="whole" showInputMessage="1" showErrorMessage="1" errorTitle="耐用年数入力エラー" error="２から９９までの数字を入力してください。" imeMode="disabled" sqref="H109:I109 H7:I37">
      <formula1>2</formula1>
      <formula2>99</formula2>
    </dataValidation>
    <dataValidation allowBlank="1" showInputMessage="1" showErrorMessage="1" promptTitle="氏名入力欄" prompt="２４文字以内で&#10;氏名を入力して&#10;ください。" errorTitle="氏名入力欄は２４文字まで" error="入力された文字数が２４文字を超えました。&#10;２４文字以内で再入力してください。" imeMode="on" sqref="AT4:AW4"/>
    <dataValidation allowBlank="1" showInputMessage="1" showErrorMessage="1" errorTitle="廃棄月入力エラー" error="１から１２までの数字を入力してください。" sqref="L109 L7:L37"/>
    <dataValidation errorStyle="warning" type="whole" allowBlank="1" showInputMessage="1" showErrorMessage="1" errorTitle="取得価額入力エラー" error="１０万円未満、２０万円以上の資産は&#10;３年償却できません。&#10;１０万円以上、２０万円未満の金額を&#10;入力してください。事業割合を考慮した&#10;結果其の範囲であることが必要です。" imeMode="disabled" sqref="G38:G40">
      <formula1>100000</formula1>
      <formula2>199999</formula2>
    </dataValidation>
    <dataValidation type="decimal" allowBlank="1" showInputMessage="1" showErrorMessage="1" errorTitle="事業割合入力エラー" error="１から１００までの数字を入力してください。" imeMode="disabled" sqref="J7:J40">
      <formula1>0</formula1>
      <formula2>1</formula2>
    </dataValidation>
    <dataValidation type="list" allowBlank="1" showDropDown="1" showInputMessage="1" showErrorMessage="1" promptTitle="計算年の入力" prompt="原価償却費の計算&#10;をする年を入力して&#10;ください。平成20年&#10;以降の入力が可能" errorTitle="計算該当年入力エラー" error="２０から９９までの数字を入力してください。" imeMode="disabled" sqref="E105:E106">
      <formula1>$DO$21:$DO$112</formula1>
    </dataValidation>
    <dataValidation type="list" allowBlank="1" showDropDown="1" showInputMessage="1" showErrorMessage="1" errorTitle="取得年入力エラー" error="昭和はｓ１からｓ６３まで&#10;平成は１から９９まで&#10;それ以外は入力できません。&#10;" imeMode="disabled" sqref="E109">
      <formula1>$DP$1:$DP$179</formula1>
    </dataValidation>
    <dataValidation type="list" allowBlank="1" showDropDown="1" showInputMessage="1" showErrorMessage="1" promptTitle="計算年の入力" prompt="原価償却費の計算&#10;をする年を入力して&#10;ください。令和１年&#10;以降の入力が可能" errorTitle="計算該当年入力エラー" error="１から９９までの数字を入力してください。" imeMode="disabled" sqref="E4">
      <formula1>$DO$1:$DO$112</formula1>
    </dataValidation>
    <dataValidation type="list" allowBlank="1" showDropDown="1" showInputMessage="1" showErrorMessage="1" promptTitle="取得年の入力" prompt="令和の場合は、数字のみ&#10;平成の場合は、H1～H31&#10;昭和の場合は、S1～S63&#10;のように入力。" errorTitle="取得年入力エラー" error="数字は、1～99まで&#10;平成は、H１～H31まで&#10;昭和は、S1～S63まで&#10;それ以外は入力できません。&#10;" imeMode="disabled" sqref="E7:E40">
      <formula1>$DP$1:$DP$205</formula1>
    </dataValidation>
  </dataValidations>
  <hyperlinks>
    <hyperlink ref="O3" r:id="rId1" display="h.hokari"/>
    <hyperlink ref="O67" r:id="rId2" display="h.hokari"/>
    <hyperlink ref="K126" r:id="rId3" display="ダウンロード"/>
    <hyperlink ref="O2" r:id="rId4" display="最新版入手"/>
  </hyperlinks>
  <printOptions/>
  <pageMargins left="0.56" right="0.47" top="0.4" bottom="0.2362204724409449" header="0.68" footer="0.2362204724409449"/>
  <pageSetup horizontalDpi="600" verticalDpi="600" orientation="landscape" paperSize="9" r:id="rId8"/>
  <drawing r:id="rId7"/>
  <legacyDrawing r:id="rId6"/>
</worksheet>
</file>

<file path=xl/worksheets/sheet3.xml><?xml version="1.0" encoding="utf-8"?>
<worksheet xmlns="http://schemas.openxmlformats.org/spreadsheetml/2006/main" xmlns:r="http://schemas.openxmlformats.org/officeDocument/2006/relationships">
  <sheetPr>
    <tabColor indexed="14"/>
  </sheetPr>
  <dimension ref="C1:AF107"/>
  <sheetViews>
    <sheetView zoomScalePageLayoutView="0" workbookViewId="0" topLeftCell="A1">
      <selection activeCell="A55" sqref="A55"/>
    </sheetView>
  </sheetViews>
  <sheetFormatPr defaultColWidth="9.00390625" defaultRowHeight="13.5"/>
  <cols>
    <col min="1" max="1" width="2.00390625" style="0" customWidth="1"/>
    <col min="2" max="2" width="2.375" style="0" customWidth="1"/>
    <col min="4" max="4" width="11.875" style="0" customWidth="1"/>
    <col min="5" max="5" width="7.75390625" style="0" customWidth="1"/>
    <col min="6" max="6" width="6.75390625" style="0" customWidth="1"/>
    <col min="7" max="7" width="6.25390625" style="0" customWidth="1"/>
    <col min="8" max="8" width="6.75390625" style="0" customWidth="1"/>
    <col min="9" max="9" width="6.125" style="0" customWidth="1"/>
    <col min="10" max="11" width="6.625" style="0" customWidth="1"/>
    <col min="12" max="12" width="3.625" style="0" customWidth="1"/>
    <col min="13" max="16" width="1.625" style="0" customWidth="1"/>
    <col min="17" max="17" width="10.375" style="0" customWidth="1"/>
    <col min="18" max="18" width="12.25390625" style="0" customWidth="1"/>
    <col min="20" max="20" width="13.75390625" style="0" customWidth="1"/>
    <col min="21" max="32" width="6.625" style="0" customWidth="1"/>
  </cols>
  <sheetData>
    <row r="1" spans="3:20" ht="14.25" thickBot="1">
      <c r="C1" t="s">
        <v>5</v>
      </c>
      <c r="D1" t="s">
        <v>6</v>
      </c>
      <c r="S1" t="s">
        <v>5</v>
      </c>
      <c r="T1" t="s">
        <v>167</v>
      </c>
    </row>
    <row r="2" spans="3:32" ht="14.25" thickBot="1">
      <c r="C2" s="122" t="s">
        <v>166</v>
      </c>
      <c r="D2" s="123">
        <v>1000000</v>
      </c>
      <c r="E2" s="1"/>
      <c r="F2" s="1" t="s">
        <v>8</v>
      </c>
      <c r="G2" s="1" t="s">
        <v>10</v>
      </c>
      <c r="H2" s="1" t="s">
        <v>12</v>
      </c>
      <c r="I2" s="1" t="s">
        <v>14</v>
      </c>
      <c r="J2" s="1" t="s">
        <v>16</v>
      </c>
      <c r="K2" s="1" t="s">
        <v>18</v>
      </c>
      <c r="R2" s="122" t="s">
        <v>165</v>
      </c>
      <c r="T2" s="2">
        <v>900000</v>
      </c>
      <c r="U2" s="1"/>
      <c r="V2" s="1" t="s">
        <v>26</v>
      </c>
      <c r="W2" s="1" t="s">
        <v>8</v>
      </c>
      <c r="X2" s="1" t="s">
        <v>10</v>
      </c>
      <c r="Y2" s="1" t="s">
        <v>12</v>
      </c>
      <c r="Z2" s="1" t="s">
        <v>14</v>
      </c>
      <c r="AA2" s="1" t="s">
        <v>16</v>
      </c>
      <c r="AB2" s="1" t="s">
        <v>18</v>
      </c>
      <c r="AC2" s="1" t="s">
        <v>27</v>
      </c>
      <c r="AD2" s="1" t="s">
        <v>28</v>
      </c>
      <c r="AE2" s="1" t="s">
        <v>29</v>
      </c>
      <c r="AF2" s="1" t="s">
        <v>30</v>
      </c>
    </row>
    <row r="3" spans="4:32" ht="13.5">
      <c r="D3" s="1">
        <v>5</v>
      </c>
      <c r="E3" s="54" t="s">
        <v>19</v>
      </c>
      <c r="F3" s="55">
        <v>150000</v>
      </c>
      <c r="G3" s="56">
        <v>200000</v>
      </c>
      <c r="H3" s="56">
        <v>200000</v>
      </c>
      <c r="I3" s="56">
        <v>200000</v>
      </c>
      <c r="J3" s="56">
        <v>200000</v>
      </c>
      <c r="K3" s="56">
        <v>49999</v>
      </c>
      <c r="M3" s="53"/>
      <c r="T3" s="1">
        <v>5</v>
      </c>
      <c r="U3" s="54" t="s">
        <v>19</v>
      </c>
      <c r="V3" s="55">
        <v>135000</v>
      </c>
      <c r="W3" s="56">
        <v>180000</v>
      </c>
      <c r="X3" s="56">
        <v>180000</v>
      </c>
      <c r="Y3" s="56">
        <v>180000</v>
      </c>
      <c r="Z3" s="56">
        <v>180000</v>
      </c>
      <c r="AA3" s="56">
        <v>95000</v>
      </c>
      <c r="AB3" s="56">
        <v>10000</v>
      </c>
      <c r="AC3" s="56">
        <v>10000</v>
      </c>
      <c r="AD3" s="56">
        <v>10000</v>
      </c>
      <c r="AE3" s="56">
        <v>10000</v>
      </c>
      <c r="AF3" s="56">
        <v>9999</v>
      </c>
    </row>
    <row r="4" spans="4:32" ht="13.5">
      <c r="D4" s="1">
        <v>4</v>
      </c>
      <c r="E4" s="54" t="s">
        <v>20</v>
      </c>
      <c r="F4" s="55">
        <v>850000</v>
      </c>
      <c r="G4" s="55">
        <v>650000</v>
      </c>
      <c r="H4" s="55">
        <v>450000</v>
      </c>
      <c r="I4" s="55">
        <v>250000</v>
      </c>
      <c r="J4" s="55">
        <v>50000</v>
      </c>
      <c r="K4" s="55">
        <v>1</v>
      </c>
      <c r="T4" s="1">
        <v>4</v>
      </c>
      <c r="U4" s="54" t="s">
        <v>20</v>
      </c>
      <c r="V4" s="55">
        <v>865000</v>
      </c>
      <c r="W4" s="55">
        <v>685000</v>
      </c>
      <c r="X4" s="55">
        <v>505000</v>
      </c>
      <c r="Y4" s="55">
        <v>325000</v>
      </c>
      <c r="Z4" s="55">
        <v>145000</v>
      </c>
      <c r="AA4" s="55">
        <v>50000</v>
      </c>
      <c r="AB4" s="55">
        <v>40000</v>
      </c>
      <c r="AC4" s="55">
        <v>30000</v>
      </c>
      <c r="AD4" s="55">
        <v>20000</v>
      </c>
      <c r="AE4" s="55">
        <v>10000</v>
      </c>
      <c r="AF4" s="55">
        <v>1</v>
      </c>
    </row>
    <row r="5" spans="4:24" ht="13.5">
      <c r="D5" t="s">
        <v>31</v>
      </c>
      <c r="R5" t="s">
        <v>31</v>
      </c>
      <c r="T5" t="s">
        <v>31</v>
      </c>
      <c r="W5" s="124"/>
      <c r="X5" s="124"/>
    </row>
    <row r="6" spans="3:32" ht="14.25" thickBot="1">
      <c r="C6" s="3" t="s">
        <v>2</v>
      </c>
      <c r="D6" s="139" t="s">
        <v>4</v>
      </c>
      <c r="E6" s="51"/>
      <c r="F6" s="135" t="s">
        <v>224</v>
      </c>
      <c r="G6" s="136"/>
      <c r="H6" s="137"/>
      <c r="I6" s="52"/>
      <c r="J6" s="135" t="s">
        <v>225</v>
      </c>
      <c r="K6" s="136"/>
      <c r="L6" s="137"/>
      <c r="M6" s="52"/>
      <c r="N6" s="52"/>
      <c r="O6" s="50"/>
      <c r="P6" s="50"/>
      <c r="Q6" s="153" t="s">
        <v>234</v>
      </c>
      <c r="R6" s="39" t="s">
        <v>3</v>
      </c>
      <c r="S6" s="3" t="s">
        <v>2</v>
      </c>
      <c r="T6" s="121" t="s">
        <v>375</v>
      </c>
      <c r="U6" s="51"/>
      <c r="V6" s="135" t="s">
        <v>226</v>
      </c>
      <c r="W6" s="136"/>
      <c r="X6" s="137"/>
      <c r="Y6" s="52"/>
      <c r="Z6" s="52"/>
      <c r="AA6" s="52"/>
      <c r="AB6" s="52"/>
      <c r="AC6" s="52"/>
      <c r="AD6" s="52"/>
      <c r="AE6" s="50"/>
      <c r="AF6" s="50"/>
    </row>
    <row r="7" spans="3:32" ht="14.25" thickBot="1">
      <c r="C7" s="33"/>
      <c r="D7" s="34"/>
      <c r="E7" s="35">
        <v>1</v>
      </c>
      <c r="F7" s="133" t="s">
        <v>222</v>
      </c>
      <c r="G7" s="134" t="s">
        <v>223</v>
      </c>
      <c r="H7" s="133"/>
      <c r="I7" s="35"/>
      <c r="J7" s="133" t="s">
        <v>222</v>
      </c>
      <c r="K7" s="134" t="s">
        <v>223</v>
      </c>
      <c r="L7" s="36"/>
      <c r="M7" s="35"/>
      <c r="N7" s="36"/>
      <c r="O7" s="35"/>
      <c r="P7" s="37"/>
      <c r="Q7" s="153" t="s">
        <v>38</v>
      </c>
      <c r="R7" s="140" t="s">
        <v>227</v>
      </c>
      <c r="S7" s="38"/>
      <c r="T7" s="34"/>
      <c r="U7" s="35">
        <v>1</v>
      </c>
      <c r="V7" s="133" t="s">
        <v>228</v>
      </c>
      <c r="W7" s="134" t="s">
        <v>229</v>
      </c>
      <c r="X7" s="133"/>
      <c r="Y7" s="35"/>
      <c r="Z7" s="36"/>
      <c r="AA7" s="35"/>
      <c r="AB7" s="36"/>
      <c r="AC7" s="35"/>
      <c r="AD7" s="36"/>
      <c r="AE7" s="35"/>
      <c r="AF7" s="37"/>
    </row>
    <row r="8" spans="3:32" ht="13.5">
      <c r="C8" s="6">
        <v>2</v>
      </c>
      <c r="D8" s="25">
        <v>0.5</v>
      </c>
      <c r="E8" s="32">
        <f aca="true" t="shared" si="0" ref="E8:E16">$D8*E$7/12</f>
        <v>0.041666666666666664</v>
      </c>
      <c r="F8" s="138">
        <f aca="true" t="shared" si="1" ref="F8:F16">1000000*D8/12</f>
        <v>41666.666666666664</v>
      </c>
      <c r="G8" s="138">
        <f aca="true" t="shared" si="2" ref="G8:G16">INT(1000000*D8)</f>
        <v>500000</v>
      </c>
      <c r="H8" s="138"/>
      <c r="I8" s="138"/>
      <c r="J8" s="138">
        <f aca="true" t="shared" si="3" ref="J8:J16">900000*D8/12</f>
        <v>37500</v>
      </c>
      <c r="K8" s="138">
        <f aca="true" t="shared" si="4" ref="K8:K16">INT(900000*D8)</f>
        <v>450000</v>
      </c>
      <c r="L8" s="138"/>
      <c r="M8" s="138"/>
      <c r="N8" s="138"/>
      <c r="O8" s="138"/>
      <c r="P8" s="138"/>
      <c r="Q8" s="141">
        <v>2</v>
      </c>
      <c r="R8" s="40">
        <v>2</v>
      </c>
      <c r="S8" s="6">
        <v>2</v>
      </c>
      <c r="T8" s="7">
        <v>0.5</v>
      </c>
      <c r="U8" s="32">
        <f>$D8*U$7/12</f>
        <v>0.041666666666666664</v>
      </c>
      <c r="V8" s="138">
        <f>900000*T8/12</f>
        <v>37500</v>
      </c>
      <c r="W8" s="138">
        <f>INT(900000*T8)</f>
        <v>450000</v>
      </c>
      <c r="X8" s="138"/>
      <c r="Y8" s="138"/>
      <c r="Z8" s="138"/>
      <c r="AA8" s="138"/>
      <c r="AB8" s="138"/>
      <c r="AC8" s="138"/>
      <c r="AD8" s="138"/>
      <c r="AE8" s="138"/>
      <c r="AF8" s="138"/>
    </row>
    <row r="9" spans="3:32" ht="13.5">
      <c r="C9" s="8">
        <v>3</v>
      </c>
      <c r="D9" s="26">
        <v>0.334</v>
      </c>
      <c r="E9" s="32">
        <f t="shared" si="0"/>
        <v>0.027833333333333335</v>
      </c>
      <c r="F9" s="138">
        <f t="shared" si="1"/>
        <v>27833.333333333332</v>
      </c>
      <c r="G9" s="138">
        <f t="shared" si="2"/>
        <v>334000</v>
      </c>
      <c r="H9" s="138"/>
      <c r="I9" s="138"/>
      <c r="J9" s="138">
        <f t="shared" si="3"/>
        <v>25050</v>
      </c>
      <c r="K9" s="138">
        <f t="shared" si="4"/>
        <v>300600</v>
      </c>
      <c r="L9" s="138"/>
      <c r="M9" s="138"/>
      <c r="N9" s="138"/>
      <c r="O9" s="138"/>
      <c r="P9" s="138"/>
      <c r="Q9" s="142">
        <v>3</v>
      </c>
      <c r="R9" s="41">
        <v>3</v>
      </c>
      <c r="S9" s="8">
        <v>3</v>
      </c>
      <c r="T9" s="9">
        <v>0.333</v>
      </c>
      <c r="U9" s="32">
        <f aca="true" t="shared" si="5" ref="U9:U72">$D9*U$7/12</f>
        <v>0.027833333333333335</v>
      </c>
      <c r="V9" s="138">
        <f aca="true" t="shared" si="6" ref="V9:V72">900000*T9/12</f>
        <v>24975</v>
      </c>
      <c r="W9" s="138">
        <f aca="true" t="shared" si="7" ref="W9:W72">INT(900000*T9)</f>
        <v>299700</v>
      </c>
      <c r="X9" s="138"/>
      <c r="Y9" s="138"/>
      <c r="Z9" s="138"/>
      <c r="AA9" s="138"/>
      <c r="AB9" s="138"/>
      <c r="AC9" s="138"/>
      <c r="AD9" s="138"/>
      <c r="AE9" s="138"/>
      <c r="AF9" s="138"/>
    </row>
    <row r="10" spans="3:32" ht="13.5">
      <c r="C10" s="8">
        <v>4</v>
      </c>
      <c r="D10" s="26">
        <v>0.25</v>
      </c>
      <c r="E10" s="32">
        <f t="shared" si="0"/>
        <v>0.020833333333333332</v>
      </c>
      <c r="F10" s="138">
        <f t="shared" si="1"/>
        <v>20833.333333333332</v>
      </c>
      <c r="G10" s="138">
        <f t="shared" si="2"/>
        <v>250000</v>
      </c>
      <c r="H10" s="138"/>
      <c r="I10" s="138"/>
      <c r="J10" s="138">
        <f t="shared" si="3"/>
        <v>18750</v>
      </c>
      <c r="K10" s="138">
        <f t="shared" si="4"/>
        <v>225000</v>
      </c>
      <c r="L10" s="138"/>
      <c r="M10" s="138"/>
      <c r="N10" s="138"/>
      <c r="O10" s="138"/>
      <c r="P10" s="138"/>
      <c r="Q10" s="142">
        <v>4</v>
      </c>
      <c r="R10" s="41">
        <v>4</v>
      </c>
      <c r="S10" s="8">
        <v>4</v>
      </c>
      <c r="T10" s="9">
        <v>0.25</v>
      </c>
      <c r="U10" s="32">
        <f t="shared" si="5"/>
        <v>0.020833333333333332</v>
      </c>
      <c r="V10" s="138">
        <f t="shared" si="6"/>
        <v>18750</v>
      </c>
      <c r="W10" s="138">
        <f t="shared" si="7"/>
        <v>225000</v>
      </c>
      <c r="X10" s="138"/>
      <c r="Y10" s="138"/>
      <c r="Z10" s="138"/>
      <c r="AA10" s="138"/>
      <c r="AB10" s="138"/>
      <c r="AC10" s="138"/>
      <c r="AD10" s="138"/>
      <c r="AE10" s="138"/>
      <c r="AF10" s="138"/>
    </row>
    <row r="11" spans="3:32" ht="13.5">
      <c r="C11" s="8">
        <v>5</v>
      </c>
      <c r="D11" s="27">
        <v>0.2</v>
      </c>
      <c r="E11" s="32">
        <f t="shared" si="0"/>
        <v>0.016666666666666666</v>
      </c>
      <c r="F11" s="138">
        <f t="shared" si="1"/>
        <v>16666.666666666668</v>
      </c>
      <c r="G11" s="138">
        <f t="shared" si="2"/>
        <v>200000</v>
      </c>
      <c r="H11" s="138"/>
      <c r="I11" s="138"/>
      <c r="J11" s="138">
        <f t="shared" si="3"/>
        <v>15000</v>
      </c>
      <c r="K11" s="138">
        <f t="shared" si="4"/>
        <v>180000</v>
      </c>
      <c r="L11" s="138"/>
      <c r="M11" s="138"/>
      <c r="N11" s="138"/>
      <c r="O11" s="138"/>
      <c r="P11" s="138"/>
      <c r="Q11" s="142">
        <v>5</v>
      </c>
      <c r="R11" s="41">
        <v>5</v>
      </c>
      <c r="S11" s="8">
        <v>5</v>
      </c>
      <c r="T11" s="10">
        <v>0.2</v>
      </c>
      <c r="U11" s="32">
        <f t="shared" si="5"/>
        <v>0.016666666666666666</v>
      </c>
      <c r="V11" s="138">
        <f t="shared" si="6"/>
        <v>15000</v>
      </c>
      <c r="W11" s="138">
        <f t="shared" si="7"/>
        <v>180000</v>
      </c>
      <c r="X11" s="138"/>
      <c r="Y11" s="138"/>
      <c r="Z11" s="138"/>
      <c r="AA11" s="138"/>
      <c r="AB11" s="138"/>
      <c r="AC11" s="138"/>
      <c r="AD11" s="138"/>
      <c r="AE11" s="138"/>
      <c r="AF11" s="138"/>
    </row>
    <row r="12" spans="3:32" ht="13.5">
      <c r="C12" s="11">
        <v>6</v>
      </c>
      <c r="D12" s="28">
        <v>0.167</v>
      </c>
      <c r="E12" s="32">
        <f t="shared" si="0"/>
        <v>0.013916666666666667</v>
      </c>
      <c r="F12" s="138">
        <f t="shared" si="1"/>
        <v>13916.666666666666</v>
      </c>
      <c r="G12" s="138">
        <f t="shared" si="2"/>
        <v>167000</v>
      </c>
      <c r="H12" s="138"/>
      <c r="I12" s="138"/>
      <c r="J12" s="138">
        <f t="shared" si="3"/>
        <v>12525</v>
      </c>
      <c r="K12" s="138">
        <f t="shared" si="4"/>
        <v>150300</v>
      </c>
      <c r="L12" s="138"/>
      <c r="M12" s="138"/>
      <c r="N12" s="138"/>
      <c r="O12" s="138"/>
      <c r="P12" s="138"/>
      <c r="Q12" s="143">
        <v>6</v>
      </c>
      <c r="R12" s="41">
        <v>6</v>
      </c>
      <c r="S12" s="11">
        <v>6</v>
      </c>
      <c r="T12" s="12">
        <v>0.166</v>
      </c>
      <c r="U12" s="32">
        <f t="shared" si="5"/>
        <v>0.013916666666666667</v>
      </c>
      <c r="V12" s="138">
        <f t="shared" si="6"/>
        <v>12450</v>
      </c>
      <c r="W12" s="138">
        <f t="shared" si="7"/>
        <v>149400</v>
      </c>
      <c r="X12" s="138"/>
      <c r="Y12" s="138"/>
      <c r="Z12" s="138"/>
      <c r="AA12" s="138"/>
      <c r="AB12" s="138"/>
      <c r="AC12" s="138"/>
      <c r="AD12" s="138"/>
      <c r="AE12" s="138"/>
      <c r="AF12" s="138"/>
    </row>
    <row r="13" spans="3:32" ht="13.5">
      <c r="C13" s="8">
        <v>7</v>
      </c>
      <c r="D13" s="26">
        <v>0.143</v>
      </c>
      <c r="E13" s="32">
        <f t="shared" si="0"/>
        <v>0.011916666666666666</v>
      </c>
      <c r="F13" s="138">
        <f t="shared" si="1"/>
        <v>11916.666666666666</v>
      </c>
      <c r="G13" s="138">
        <f t="shared" si="2"/>
        <v>143000</v>
      </c>
      <c r="H13" s="138"/>
      <c r="I13" s="138"/>
      <c r="J13" s="138">
        <f t="shared" si="3"/>
        <v>10724.999999999998</v>
      </c>
      <c r="K13" s="138">
        <f t="shared" si="4"/>
        <v>128700</v>
      </c>
      <c r="L13" s="138"/>
      <c r="M13" s="138"/>
      <c r="N13" s="138"/>
      <c r="O13" s="138"/>
      <c r="P13" s="138"/>
      <c r="Q13" s="142">
        <v>7</v>
      </c>
      <c r="R13" s="41">
        <v>7</v>
      </c>
      <c r="S13" s="8">
        <v>7</v>
      </c>
      <c r="T13" s="9">
        <v>0.142</v>
      </c>
      <c r="U13" s="32">
        <f t="shared" si="5"/>
        <v>0.011916666666666666</v>
      </c>
      <c r="V13" s="138">
        <f t="shared" si="6"/>
        <v>10649.999999999998</v>
      </c>
      <c r="W13" s="138">
        <f t="shared" si="7"/>
        <v>127800</v>
      </c>
      <c r="X13" s="138"/>
      <c r="Y13" s="138"/>
      <c r="Z13" s="138"/>
      <c r="AA13" s="138"/>
      <c r="AB13" s="138"/>
      <c r="AC13" s="138"/>
      <c r="AD13" s="138"/>
      <c r="AE13" s="138"/>
      <c r="AF13" s="138"/>
    </row>
    <row r="14" spans="3:32" ht="13.5">
      <c r="C14" s="8">
        <v>8</v>
      </c>
      <c r="D14" s="26">
        <v>0.125</v>
      </c>
      <c r="E14" s="32">
        <f t="shared" si="0"/>
        <v>0.010416666666666666</v>
      </c>
      <c r="F14" s="138">
        <f t="shared" si="1"/>
        <v>10416.666666666666</v>
      </c>
      <c r="G14" s="138">
        <f t="shared" si="2"/>
        <v>125000</v>
      </c>
      <c r="H14" s="138"/>
      <c r="I14" s="138"/>
      <c r="J14" s="138">
        <f t="shared" si="3"/>
        <v>9375</v>
      </c>
      <c r="K14" s="138">
        <f t="shared" si="4"/>
        <v>112500</v>
      </c>
      <c r="L14" s="138"/>
      <c r="M14" s="138"/>
      <c r="N14" s="138"/>
      <c r="O14" s="138"/>
      <c r="P14" s="138"/>
      <c r="Q14" s="142">
        <v>8</v>
      </c>
      <c r="R14" s="41">
        <v>8</v>
      </c>
      <c r="S14" s="8">
        <v>8</v>
      </c>
      <c r="T14" s="9">
        <v>0.125</v>
      </c>
      <c r="U14" s="32">
        <f t="shared" si="5"/>
        <v>0.010416666666666666</v>
      </c>
      <c r="V14" s="138">
        <f t="shared" si="6"/>
        <v>9375</v>
      </c>
      <c r="W14" s="138">
        <f t="shared" si="7"/>
        <v>112500</v>
      </c>
      <c r="X14" s="138"/>
      <c r="Y14" s="138"/>
      <c r="Z14" s="138"/>
      <c r="AA14" s="138"/>
      <c r="AB14" s="138"/>
      <c r="AC14" s="138"/>
      <c r="AD14" s="138"/>
      <c r="AE14" s="138"/>
      <c r="AF14" s="138"/>
    </row>
    <row r="15" spans="3:32" ht="13.5">
      <c r="C15" s="8">
        <v>9</v>
      </c>
      <c r="D15" s="26">
        <v>0.112</v>
      </c>
      <c r="E15" s="32">
        <f t="shared" si="0"/>
        <v>0.009333333333333334</v>
      </c>
      <c r="F15" s="138">
        <f t="shared" si="1"/>
        <v>9333.333333333334</v>
      </c>
      <c r="G15" s="138">
        <f t="shared" si="2"/>
        <v>112000</v>
      </c>
      <c r="H15" s="138"/>
      <c r="I15" s="138"/>
      <c r="J15" s="138">
        <f t="shared" si="3"/>
        <v>8400</v>
      </c>
      <c r="K15" s="138">
        <f t="shared" si="4"/>
        <v>100800</v>
      </c>
      <c r="L15" s="138"/>
      <c r="M15" s="138"/>
      <c r="N15" s="138"/>
      <c r="O15" s="138"/>
      <c r="P15" s="138"/>
      <c r="Q15" s="142">
        <v>9</v>
      </c>
      <c r="R15" s="41">
        <v>9</v>
      </c>
      <c r="S15" s="8">
        <v>9</v>
      </c>
      <c r="T15" s="9">
        <v>0.111</v>
      </c>
      <c r="U15" s="32">
        <f t="shared" si="5"/>
        <v>0.009333333333333334</v>
      </c>
      <c r="V15" s="138">
        <f t="shared" si="6"/>
        <v>8325</v>
      </c>
      <c r="W15" s="138">
        <f t="shared" si="7"/>
        <v>99900</v>
      </c>
      <c r="X15" s="138"/>
      <c r="Y15" s="138"/>
      <c r="Z15" s="138"/>
      <c r="AA15" s="138"/>
      <c r="AB15" s="138"/>
      <c r="AC15" s="138"/>
      <c r="AD15" s="138"/>
      <c r="AE15" s="138"/>
      <c r="AF15" s="138"/>
    </row>
    <row r="16" spans="3:32" ht="13.5">
      <c r="C16" s="13">
        <v>10</v>
      </c>
      <c r="D16" s="27">
        <v>0.1</v>
      </c>
      <c r="E16" s="32">
        <f t="shared" si="0"/>
        <v>0.008333333333333333</v>
      </c>
      <c r="F16" s="138">
        <f t="shared" si="1"/>
        <v>8333.333333333334</v>
      </c>
      <c r="G16" s="138">
        <f t="shared" si="2"/>
        <v>100000</v>
      </c>
      <c r="H16" s="138"/>
      <c r="I16" s="138"/>
      <c r="J16" s="138">
        <f t="shared" si="3"/>
        <v>7500</v>
      </c>
      <c r="K16" s="138">
        <f t="shared" si="4"/>
        <v>90000</v>
      </c>
      <c r="L16" s="138"/>
      <c r="M16" s="138"/>
      <c r="N16" s="138"/>
      <c r="O16" s="138"/>
      <c r="P16" s="138"/>
      <c r="Q16" s="144">
        <v>10</v>
      </c>
      <c r="R16" s="42">
        <v>10</v>
      </c>
      <c r="S16" s="13">
        <v>10</v>
      </c>
      <c r="T16" s="10">
        <v>0.1</v>
      </c>
      <c r="U16" s="32">
        <f t="shared" si="5"/>
        <v>0.008333333333333333</v>
      </c>
      <c r="V16" s="138">
        <f t="shared" si="6"/>
        <v>7500</v>
      </c>
      <c r="W16" s="138">
        <f t="shared" si="7"/>
        <v>90000</v>
      </c>
      <c r="X16" s="138"/>
      <c r="Y16" s="138"/>
      <c r="Z16" s="138"/>
      <c r="AA16" s="138"/>
      <c r="AB16" s="138"/>
      <c r="AC16" s="138"/>
      <c r="AD16" s="138"/>
      <c r="AE16" s="138"/>
      <c r="AF16" s="138"/>
    </row>
    <row r="17" spans="3:32" ht="13.5">
      <c r="C17" s="11">
        <v>11</v>
      </c>
      <c r="D17" s="28">
        <v>0.091</v>
      </c>
      <c r="E17" s="32">
        <f aca="true" t="shared" si="8" ref="E17:E80">$D17*E$7/12</f>
        <v>0.007583333333333333</v>
      </c>
      <c r="F17" s="138">
        <f aca="true" t="shared" si="9" ref="F17:F80">1000000*D17/12</f>
        <v>7583.333333333333</v>
      </c>
      <c r="G17" s="138">
        <f aca="true" t="shared" si="10" ref="G17:G80">INT(1000000*D17)</f>
        <v>91000</v>
      </c>
      <c r="H17" s="138"/>
      <c r="I17" s="138"/>
      <c r="J17" s="138">
        <f aca="true" t="shared" si="11" ref="J17:J80">900000*D17/12</f>
        <v>6825</v>
      </c>
      <c r="K17" s="138">
        <f aca="true" t="shared" si="12" ref="K17:K80">INT(900000*D17)</f>
        <v>81900</v>
      </c>
      <c r="L17" s="138"/>
      <c r="M17" s="138"/>
      <c r="N17" s="138"/>
      <c r="O17" s="138"/>
      <c r="P17" s="138"/>
      <c r="Q17" s="143">
        <v>11</v>
      </c>
      <c r="R17" s="43">
        <v>12</v>
      </c>
      <c r="S17" s="11">
        <v>11</v>
      </c>
      <c r="T17" s="12">
        <v>0.09</v>
      </c>
      <c r="U17" s="32">
        <f t="shared" si="5"/>
        <v>0.007583333333333333</v>
      </c>
      <c r="V17" s="138">
        <f t="shared" si="6"/>
        <v>6750</v>
      </c>
      <c r="W17" s="138">
        <f t="shared" si="7"/>
        <v>81000</v>
      </c>
      <c r="X17" s="138"/>
      <c r="Y17" s="138"/>
      <c r="Z17" s="138"/>
      <c r="AA17" s="138"/>
      <c r="AB17" s="138"/>
      <c r="AC17" s="138"/>
      <c r="AD17" s="138"/>
      <c r="AE17" s="138"/>
      <c r="AF17" s="138"/>
    </row>
    <row r="18" spans="3:32" ht="13.5">
      <c r="C18" s="8">
        <v>12</v>
      </c>
      <c r="D18" s="26">
        <v>0.084</v>
      </c>
      <c r="E18" s="32">
        <f t="shared" si="8"/>
        <v>0.007</v>
      </c>
      <c r="F18" s="138">
        <f t="shared" si="9"/>
        <v>7000</v>
      </c>
      <c r="G18" s="138">
        <f t="shared" si="10"/>
        <v>84000</v>
      </c>
      <c r="H18" s="138"/>
      <c r="I18" s="138"/>
      <c r="J18" s="138">
        <f t="shared" si="11"/>
        <v>6300</v>
      </c>
      <c r="K18" s="138">
        <f t="shared" si="12"/>
        <v>75600</v>
      </c>
      <c r="L18" s="138"/>
      <c r="M18" s="138"/>
      <c r="N18" s="138"/>
      <c r="O18" s="138"/>
      <c r="P18" s="138"/>
      <c r="Q18" s="142">
        <v>12</v>
      </c>
      <c r="R18" s="41">
        <v>13</v>
      </c>
      <c r="S18" s="8">
        <v>12</v>
      </c>
      <c r="T18" s="9">
        <v>0.083</v>
      </c>
      <c r="U18" s="32">
        <f t="shared" si="5"/>
        <v>0.007</v>
      </c>
      <c r="V18" s="138">
        <f t="shared" si="6"/>
        <v>6225</v>
      </c>
      <c r="W18" s="138">
        <f t="shared" si="7"/>
        <v>74700</v>
      </c>
      <c r="X18" s="138"/>
      <c r="Y18" s="138"/>
      <c r="Z18" s="138"/>
      <c r="AA18" s="138"/>
      <c r="AB18" s="138"/>
      <c r="AC18" s="138"/>
      <c r="AD18" s="138"/>
      <c r="AE18" s="138"/>
      <c r="AF18" s="138"/>
    </row>
    <row r="19" spans="3:32" ht="13.5">
      <c r="C19" s="8">
        <v>13</v>
      </c>
      <c r="D19" s="26">
        <v>0.077</v>
      </c>
      <c r="E19" s="32">
        <f t="shared" si="8"/>
        <v>0.006416666666666667</v>
      </c>
      <c r="F19" s="138">
        <f t="shared" si="9"/>
        <v>6416.666666666667</v>
      </c>
      <c r="G19" s="138">
        <f t="shared" si="10"/>
        <v>77000</v>
      </c>
      <c r="H19" s="138"/>
      <c r="I19" s="138"/>
      <c r="J19" s="138">
        <f t="shared" si="11"/>
        <v>5775</v>
      </c>
      <c r="K19" s="138">
        <f t="shared" si="12"/>
        <v>69300</v>
      </c>
      <c r="L19" s="138"/>
      <c r="M19" s="138"/>
      <c r="N19" s="138"/>
      <c r="O19" s="138"/>
      <c r="P19" s="138"/>
      <c r="Q19" s="142">
        <v>13</v>
      </c>
      <c r="R19" s="41">
        <v>14</v>
      </c>
      <c r="S19" s="8">
        <v>13</v>
      </c>
      <c r="T19" s="9">
        <v>0.076</v>
      </c>
      <c r="U19" s="32">
        <f t="shared" si="5"/>
        <v>0.006416666666666667</v>
      </c>
      <c r="V19" s="138">
        <f t="shared" si="6"/>
        <v>5700</v>
      </c>
      <c r="W19" s="138">
        <f t="shared" si="7"/>
        <v>68400</v>
      </c>
      <c r="X19" s="138"/>
      <c r="Y19" s="138"/>
      <c r="Z19" s="138"/>
      <c r="AA19" s="138"/>
      <c r="AB19" s="138"/>
      <c r="AC19" s="138"/>
      <c r="AD19" s="138"/>
      <c r="AE19" s="138"/>
      <c r="AF19" s="138"/>
    </row>
    <row r="20" spans="3:32" ht="13.5">
      <c r="C20" s="8">
        <v>14</v>
      </c>
      <c r="D20" s="26">
        <v>0.072</v>
      </c>
      <c r="E20" s="32">
        <f t="shared" si="8"/>
        <v>0.005999999999999999</v>
      </c>
      <c r="F20" s="138">
        <f t="shared" si="9"/>
        <v>6000</v>
      </c>
      <c r="G20" s="138">
        <f t="shared" si="10"/>
        <v>72000</v>
      </c>
      <c r="H20" s="138"/>
      <c r="I20" s="138"/>
      <c r="J20" s="138">
        <f t="shared" si="11"/>
        <v>5399.999999999999</v>
      </c>
      <c r="K20" s="138">
        <f t="shared" si="12"/>
        <v>64800</v>
      </c>
      <c r="L20" s="138"/>
      <c r="M20" s="138"/>
      <c r="N20" s="138"/>
      <c r="O20" s="138"/>
      <c r="P20" s="138"/>
      <c r="Q20" s="142">
        <v>14</v>
      </c>
      <c r="R20" s="41">
        <v>15</v>
      </c>
      <c r="S20" s="8">
        <v>14</v>
      </c>
      <c r="T20" s="9">
        <v>0.071</v>
      </c>
      <c r="U20" s="32">
        <f t="shared" si="5"/>
        <v>0.005999999999999999</v>
      </c>
      <c r="V20" s="138">
        <f t="shared" si="6"/>
        <v>5324.999999999999</v>
      </c>
      <c r="W20" s="138">
        <f t="shared" si="7"/>
        <v>63900</v>
      </c>
      <c r="X20" s="138"/>
      <c r="Y20" s="138"/>
      <c r="Z20" s="138"/>
      <c r="AA20" s="138"/>
      <c r="AB20" s="138"/>
      <c r="AC20" s="138"/>
      <c r="AD20" s="138"/>
      <c r="AE20" s="138"/>
      <c r="AF20" s="138"/>
    </row>
    <row r="21" spans="3:32" ht="13.5">
      <c r="C21" s="13">
        <v>15</v>
      </c>
      <c r="D21" s="27">
        <v>0.067</v>
      </c>
      <c r="E21" s="32">
        <f t="shared" si="8"/>
        <v>0.005583333333333333</v>
      </c>
      <c r="F21" s="138">
        <f t="shared" si="9"/>
        <v>5583.333333333333</v>
      </c>
      <c r="G21" s="138">
        <f t="shared" si="10"/>
        <v>67000</v>
      </c>
      <c r="H21" s="138"/>
      <c r="I21" s="138"/>
      <c r="J21" s="138">
        <f t="shared" si="11"/>
        <v>5025</v>
      </c>
      <c r="K21" s="138">
        <f t="shared" si="12"/>
        <v>60300</v>
      </c>
      <c r="L21" s="138"/>
      <c r="M21" s="138"/>
      <c r="N21" s="138"/>
      <c r="O21" s="138"/>
      <c r="P21" s="138"/>
      <c r="Q21" s="144">
        <v>15</v>
      </c>
      <c r="R21" s="41">
        <v>16</v>
      </c>
      <c r="S21" s="13">
        <v>15</v>
      </c>
      <c r="T21" s="10">
        <v>0.066</v>
      </c>
      <c r="U21" s="32">
        <f t="shared" si="5"/>
        <v>0.005583333333333333</v>
      </c>
      <c r="V21" s="138">
        <f t="shared" si="6"/>
        <v>4950</v>
      </c>
      <c r="W21" s="138">
        <f t="shared" si="7"/>
        <v>59400</v>
      </c>
      <c r="X21" s="138"/>
      <c r="Y21" s="138"/>
      <c r="Z21" s="138"/>
      <c r="AA21" s="138"/>
      <c r="AB21" s="138"/>
      <c r="AC21" s="138"/>
      <c r="AD21" s="138"/>
      <c r="AE21" s="138"/>
      <c r="AF21" s="138"/>
    </row>
    <row r="22" spans="3:32" ht="13.5">
      <c r="C22" s="11">
        <v>16</v>
      </c>
      <c r="D22" s="28">
        <v>0.063</v>
      </c>
      <c r="E22" s="32">
        <f t="shared" si="8"/>
        <v>0.00525</v>
      </c>
      <c r="F22" s="138">
        <f t="shared" si="9"/>
        <v>5250</v>
      </c>
      <c r="G22" s="138">
        <f t="shared" si="10"/>
        <v>63000</v>
      </c>
      <c r="H22" s="138"/>
      <c r="I22" s="138"/>
      <c r="J22" s="138">
        <f t="shared" si="11"/>
        <v>4725</v>
      </c>
      <c r="K22" s="138">
        <f t="shared" si="12"/>
        <v>56700</v>
      </c>
      <c r="L22" s="138"/>
      <c r="M22" s="138"/>
      <c r="N22" s="138"/>
      <c r="O22" s="138"/>
      <c r="P22" s="138"/>
      <c r="Q22" s="143">
        <v>16</v>
      </c>
      <c r="R22" s="41">
        <v>17</v>
      </c>
      <c r="S22" s="11">
        <v>16</v>
      </c>
      <c r="T22" s="12">
        <v>0.062</v>
      </c>
      <c r="U22" s="32">
        <f t="shared" si="5"/>
        <v>0.00525</v>
      </c>
      <c r="V22" s="138">
        <f t="shared" si="6"/>
        <v>4650</v>
      </c>
      <c r="W22" s="138">
        <f t="shared" si="7"/>
        <v>55800</v>
      </c>
      <c r="X22" s="138"/>
      <c r="Y22" s="138"/>
      <c r="Z22" s="138"/>
      <c r="AA22" s="138"/>
      <c r="AB22" s="138"/>
      <c r="AC22" s="138"/>
      <c r="AD22" s="138"/>
      <c r="AE22" s="138"/>
      <c r="AF22" s="138"/>
    </row>
    <row r="23" spans="3:32" ht="13.5">
      <c r="C23" s="8">
        <v>17</v>
      </c>
      <c r="D23" s="26">
        <v>0.059</v>
      </c>
      <c r="E23" s="32">
        <f t="shared" si="8"/>
        <v>0.004916666666666666</v>
      </c>
      <c r="F23" s="138">
        <f t="shared" si="9"/>
        <v>4916.666666666667</v>
      </c>
      <c r="G23" s="138">
        <f t="shared" si="10"/>
        <v>59000</v>
      </c>
      <c r="H23" s="138"/>
      <c r="I23" s="138"/>
      <c r="J23" s="138">
        <f t="shared" si="11"/>
        <v>4425</v>
      </c>
      <c r="K23" s="138">
        <f t="shared" si="12"/>
        <v>53100</v>
      </c>
      <c r="L23" s="138"/>
      <c r="M23" s="138"/>
      <c r="N23" s="138"/>
      <c r="O23" s="138"/>
      <c r="P23" s="138"/>
      <c r="Q23" s="142">
        <v>17</v>
      </c>
      <c r="R23" s="41">
        <v>18</v>
      </c>
      <c r="S23" s="8">
        <v>17</v>
      </c>
      <c r="T23" s="9">
        <v>0.058</v>
      </c>
      <c r="U23" s="32">
        <f t="shared" si="5"/>
        <v>0.004916666666666666</v>
      </c>
      <c r="V23" s="138">
        <f t="shared" si="6"/>
        <v>4350</v>
      </c>
      <c r="W23" s="138">
        <f t="shared" si="7"/>
        <v>52200</v>
      </c>
      <c r="X23" s="138"/>
      <c r="Y23" s="138"/>
      <c r="Z23" s="138"/>
      <c r="AA23" s="138"/>
      <c r="AB23" s="138"/>
      <c r="AC23" s="138"/>
      <c r="AD23" s="138"/>
      <c r="AE23" s="138"/>
      <c r="AF23" s="138"/>
    </row>
    <row r="24" spans="3:32" ht="13.5">
      <c r="C24" s="8">
        <v>18</v>
      </c>
      <c r="D24" s="26">
        <v>0.056</v>
      </c>
      <c r="E24" s="32">
        <f t="shared" si="8"/>
        <v>0.004666666666666667</v>
      </c>
      <c r="F24" s="138">
        <f t="shared" si="9"/>
        <v>4666.666666666667</v>
      </c>
      <c r="G24" s="138">
        <f t="shared" si="10"/>
        <v>56000</v>
      </c>
      <c r="H24" s="138"/>
      <c r="I24" s="138"/>
      <c r="J24" s="138">
        <f t="shared" si="11"/>
        <v>4200</v>
      </c>
      <c r="K24" s="138">
        <f t="shared" si="12"/>
        <v>50400</v>
      </c>
      <c r="L24" s="138"/>
      <c r="M24" s="138"/>
      <c r="N24" s="138"/>
      <c r="O24" s="138"/>
      <c r="P24" s="138"/>
      <c r="Q24" s="142">
        <v>18</v>
      </c>
      <c r="R24" s="41">
        <v>19</v>
      </c>
      <c r="S24" s="8">
        <v>18</v>
      </c>
      <c r="T24" s="9">
        <v>0.055</v>
      </c>
      <c r="U24" s="32">
        <f t="shared" si="5"/>
        <v>0.004666666666666667</v>
      </c>
      <c r="V24" s="138">
        <f t="shared" si="6"/>
        <v>4125</v>
      </c>
      <c r="W24" s="138">
        <f t="shared" si="7"/>
        <v>49500</v>
      </c>
      <c r="X24" s="138"/>
      <c r="Y24" s="138"/>
      <c r="Z24" s="138"/>
      <c r="AA24" s="138"/>
      <c r="AB24" s="138"/>
      <c r="AC24" s="138"/>
      <c r="AD24" s="138"/>
      <c r="AE24" s="138"/>
      <c r="AF24" s="138"/>
    </row>
    <row r="25" spans="3:32" ht="13.5">
      <c r="C25" s="8">
        <v>19</v>
      </c>
      <c r="D25" s="26">
        <v>0.053</v>
      </c>
      <c r="E25" s="32">
        <f t="shared" si="8"/>
        <v>0.004416666666666667</v>
      </c>
      <c r="F25" s="138">
        <f t="shared" si="9"/>
        <v>4416.666666666667</v>
      </c>
      <c r="G25" s="138">
        <f t="shared" si="10"/>
        <v>53000</v>
      </c>
      <c r="H25" s="138"/>
      <c r="I25" s="138"/>
      <c r="J25" s="138">
        <f t="shared" si="11"/>
        <v>3975</v>
      </c>
      <c r="K25" s="138">
        <f t="shared" si="12"/>
        <v>47700</v>
      </c>
      <c r="L25" s="138"/>
      <c r="M25" s="138"/>
      <c r="N25" s="138"/>
      <c r="O25" s="138"/>
      <c r="P25" s="138"/>
      <c r="Q25" s="142">
        <v>19</v>
      </c>
      <c r="R25" s="42">
        <v>20</v>
      </c>
      <c r="S25" s="8">
        <v>19</v>
      </c>
      <c r="T25" s="9">
        <v>0.052</v>
      </c>
      <c r="U25" s="32">
        <f t="shared" si="5"/>
        <v>0.004416666666666667</v>
      </c>
      <c r="V25" s="138">
        <f t="shared" si="6"/>
        <v>3900</v>
      </c>
      <c r="W25" s="138">
        <f t="shared" si="7"/>
        <v>46800</v>
      </c>
      <c r="X25" s="138"/>
      <c r="Y25" s="138"/>
      <c r="Z25" s="138"/>
      <c r="AA25" s="138"/>
      <c r="AB25" s="138"/>
      <c r="AC25" s="138"/>
      <c r="AD25" s="138"/>
      <c r="AE25" s="138"/>
      <c r="AF25" s="138"/>
    </row>
    <row r="26" spans="3:32" ht="13.5">
      <c r="C26" s="13">
        <v>20</v>
      </c>
      <c r="D26" s="27">
        <v>0.05</v>
      </c>
      <c r="E26" s="32">
        <f t="shared" si="8"/>
        <v>0.004166666666666667</v>
      </c>
      <c r="F26" s="138">
        <f t="shared" si="9"/>
        <v>4166.666666666667</v>
      </c>
      <c r="G26" s="138">
        <f t="shared" si="10"/>
        <v>50000</v>
      </c>
      <c r="H26" s="138"/>
      <c r="I26" s="138"/>
      <c r="J26" s="138">
        <f t="shared" si="11"/>
        <v>3750</v>
      </c>
      <c r="K26" s="138">
        <f t="shared" si="12"/>
        <v>45000</v>
      </c>
      <c r="L26" s="138"/>
      <c r="M26" s="138"/>
      <c r="N26" s="138"/>
      <c r="O26" s="138"/>
      <c r="P26" s="138"/>
      <c r="Q26" s="144">
        <v>20</v>
      </c>
      <c r="R26" s="43">
        <v>22</v>
      </c>
      <c r="S26" s="13">
        <v>20</v>
      </c>
      <c r="T26" s="10">
        <v>0.05</v>
      </c>
      <c r="U26" s="32">
        <f t="shared" si="5"/>
        <v>0.004166666666666667</v>
      </c>
      <c r="V26" s="138">
        <f t="shared" si="6"/>
        <v>3750</v>
      </c>
      <c r="W26" s="138">
        <f t="shared" si="7"/>
        <v>45000</v>
      </c>
      <c r="X26" s="138"/>
      <c r="Y26" s="138"/>
      <c r="Z26" s="138"/>
      <c r="AA26" s="138"/>
      <c r="AB26" s="138"/>
      <c r="AC26" s="138"/>
      <c r="AD26" s="138"/>
      <c r="AE26" s="138"/>
      <c r="AF26" s="138"/>
    </row>
    <row r="27" spans="3:32" ht="13.5">
      <c r="C27" s="11">
        <v>21</v>
      </c>
      <c r="D27" s="28">
        <v>0.048</v>
      </c>
      <c r="E27" s="32">
        <f t="shared" si="8"/>
        <v>0.004</v>
      </c>
      <c r="F27" s="138">
        <f t="shared" si="9"/>
        <v>4000</v>
      </c>
      <c r="G27" s="138">
        <f t="shared" si="10"/>
        <v>48000</v>
      </c>
      <c r="H27" s="138"/>
      <c r="I27" s="138"/>
      <c r="J27" s="138">
        <f t="shared" si="11"/>
        <v>3600</v>
      </c>
      <c r="K27" s="138">
        <f t="shared" si="12"/>
        <v>43200</v>
      </c>
      <c r="L27" s="138"/>
      <c r="M27" s="138"/>
      <c r="N27" s="138"/>
      <c r="O27" s="138"/>
      <c r="P27" s="138"/>
      <c r="Q27" s="143">
        <v>21</v>
      </c>
      <c r="R27" s="41">
        <v>23</v>
      </c>
      <c r="S27" s="11">
        <v>21</v>
      </c>
      <c r="T27" s="12">
        <v>0.048</v>
      </c>
      <c r="U27" s="32">
        <f t="shared" si="5"/>
        <v>0.004</v>
      </c>
      <c r="V27" s="138">
        <f t="shared" si="6"/>
        <v>3600</v>
      </c>
      <c r="W27" s="138">
        <f t="shared" si="7"/>
        <v>43200</v>
      </c>
      <c r="X27" s="138"/>
      <c r="Y27" s="138"/>
      <c r="Z27" s="138"/>
      <c r="AA27" s="138"/>
      <c r="AB27" s="138"/>
      <c r="AC27" s="138"/>
      <c r="AD27" s="138"/>
      <c r="AE27" s="138"/>
      <c r="AF27" s="138"/>
    </row>
    <row r="28" spans="3:32" ht="13.5">
      <c r="C28" s="8">
        <v>22</v>
      </c>
      <c r="D28" s="26">
        <v>0.046</v>
      </c>
      <c r="E28" s="32">
        <f t="shared" si="8"/>
        <v>0.003833333333333333</v>
      </c>
      <c r="F28" s="138">
        <f t="shared" si="9"/>
        <v>3833.3333333333335</v>
      </c>
      <c r="G28" s="138">
        <f t="shared" si="10"/>
        <v>46000</v>
      </c>
      <c r="H28" s="138"/>
      <c r="I28" s="138"/>
      <c r="J28" s="138">
        <f t="shared" si="11"/>
        <v>3450</v>
      </c>
      <c r="K28" s="138">
        <f t="shared" si="12"/>
        <v>41400</v>
      </c>
      <c r="L28" s="138"/>
      <c r="M28" s="138"/>
      <c r="N28" s="138"/>
      <c r="O28" s="138"/>
      <c r="P28" s="138"/>
      <c r="Q28" s="142">
        <v>22</v>
      </c>
      <c r="R28" s="41">
        <v>24</v>
      </c>
      <c r="S28" s="8">
        <v>22</v>
      </c>
      <c r="T28" s="9">
        <v>0.046</v>
      </c>
      <c r="U28" s="32">
        <f t="shared" si="5"/>
        <v>0.003833333333333333</v>
      </c>
      <c r="V28" s="138">
        <f t="shared" si="6"/>
        <v>3450</v>
      </c>
      <c r="W28" s="138">
        <f t="shared" si="7"/>
        <v>41400</v>
      </c>
      <c r="X28" s="138"/>
      <c r="Y28" s="138"/>
      <c r="Z28" s="138"/>
      <c r="AA28" s="138"/>
      <c r="AB28" s="138"/>
      <c r="AC28" s="138"/>
      <c r="AD28" s="138"/>
      <c r="AE28" s="138"/>
      <c r="AF28" s="138"/>
    </row>
    <row r="29" spans="3:32" ht="13.5">
      <c r="C29" s="8">
        <v>23</v>
      </c>
      <c r="D29" s="26">
        <v>0.044</v>
      </c>
      <c r="E29" s="32">
        <f t="shared" si="8"/>
        <v>0.0036666666666666666</v>
      </c>
      <c r="F29" s="138">
        <f t="shared" si="9"/>
        <v>3666.6666666666665</v>
      </c>
      <c r="G29" s="138">
        <f t="shared" si="10"/>
        <v>44000</v>
      </c>
      <c r="H29" s="138"/>
      <c r="I29" s="138"/>
      <c r="J29" s="138">
        <f t="shared" si="11"/>
        <v>3300</v>
      </c>
      <c r="K29" s="138">
        <f t="shared" si="12"/>
        <v>39600</v>
      </c>
      <c r="L29" s="138"/>
      <c r="M29" s="138"/>
      <c r="N29" s="138"/>
      <c r="O29" s="138"/>
      <c r="P29" s="138"/>
      <c r="Q29" s="142">
        <v>23</v>
      </c>
      <c r="R29" s="41">
        <v>25</v>
      </c>
      <c r="S29" s="8">
        <v>23</v>
      </c>
      <c r="T29" s="9">
        <v>0.044</v>
      </c>
      <c r="U29" s="32">
        <f t="shared" si="5"/>
        <v>0.0036666666666666666</v>
      </c>
      <c r="V29" s="138">
        <f t="shared" si="6"/>
        <v>3300</v>
      </c>
      <c r="W29" s="138">
        <f t="shared" si="7"/>
        <v>39600</v>
      </c>
      <c r="X29" s="138"/>
      <c r="Y29" s="138"/>
      <c r="Z29" s="138"/>
      <c r="AA29" s="138"/>
      <c r="AB29" s="138"/>
      <c r="AC29" s="138"/>
      <c r="AD29" s="138"/>
      <c r="AE29" s="138"/>
      <c r="AF29" s="138"/>
    </row>
    <row r="30" spans="3:32" ht="13.5">
      <c r="C30" s="8">
        <v>24</v>
      </c>
      <c r="D30" s="26">
        <v>0.042</v>
      </c>
      <c r="E30" s="32">
        <f t="shared" si="8"/>
        <v>0.0035</v>
      </c>
      <c r="F30" s="138">
        <f t="shared" si="9"/>
        <v>3500</v>
      </c>
      <c r="G30" s="138">
        <f t="shared" si="10"/>
        <v>42000</v>
      </c>
      <c r="H30" s="138"/>
      <c r="I30" s="138"/>
      <c r="J30" s="138">
        <f t="shared" si="11"/>
        <v>3150</v>
      </c>
      <c r="K30" s="138">
        <f t="shared" si="12"/>
        <v>37800</v>
      </c>
      <c r="L30" s="138"/>
      <c r="M30" s="138"/>
      <c r="N30" s="138"/>
      <c r="O30" s="138"/>
      <c r="P30" s="138"/>
      <c r="Q30" s="142">
        <v>24</v>
      </c>
      <c r="R30" s="42">
        <v>26</v>
      </c>
      <c r="S30" s="8">
        <v>24</v>
      </c>
      <c r="T30" s="9">
        <v>0.042</v>
      </c>
      <c r="U30" s="32">
        <f t="shared" si="5"/>
        <v>0.0035</v>
      </c>
      <c r="V30" s="138">
        <f t="shared" si="6"/>
        <v>3150</v>
      </c>
      <c r="W30" s="138">
        <f t="shared" si="7"/>
        <v>37800</v>
      </c>
      <c r="X30" s="138"/>
      <c r="Y30" s="138"/>
      <c r="Z30" s="138"/>
      <c r="AA30" s="138"/>
      <c r="AB30" s="138"/>
      <c r="AC30" s="138"/>
      <c r="AD30" s="138"/>
      <c r="AE30" s="138"/>
      <c r="AF30" s="138"/>
    </row>
    <row r="31" spans="3:32" ht="13.5">
      <c r="C31" s="13">
        <v>25</v>
      </c>
      <c r="D31" s="27">
        <v>0.04</v>
      </c>
      <c r="E31" s="32">
        <f t="shared" si="8"/>
        <v>0.0033333333333333335</v>
      </c>
      <c r="F31" s="138">
        <f t="shared" si="9"/>
        <v>3333.3333333333335</v>
      </c>
      <c r="G31" s="138">
        <f t="shared" si="10"/>
        <v>40000</v>
      </c>
      <c r="H31" s="138"/>
      <c r="I31" s="138"/>
      <c r="J31" s="138">
        <f t="shared" si="11"/>
        <v>3000</v>
      </c>
      <c r="K31" s="138">
        <f t="shared" si="12"/>
        <v>36000</v>
      </c>
      <c r="L31" s="138"/>
      <c r="M31" s="138"/>
      <c r="N31" s="138"/>
      <c r="O31" s="138"/>
      <c r="P31" s="138"/>
      <c r="Q31" s="144">
        <v>25</v>
      </c>
      <c r="R31" s="41">
        <v>28</v>
      </c>
      <c r="S31" s="13">
        <v>25</v>
      </c>
      <c r="T31" s="10">
        <v>0.04</v>
      </c>
      <c r="U31" s="32">
        <f t="shared" si="5"/>
        <v>0.0033333333333333335</v>
      </c>
      <c r="V31" s="138">
        <f t="shared" si="6"/>
        <v>3000</v>
      </c>
      <c r="W31" s="138">
        <f t="shared" si="7"/>
        <v>36000</v>
      </c>
      <c r="X31" s="138"/>
      <c r="Y31" s="138"/>
      <c r="Z31" s="138"/>
      <c r="AA31" s="138"/>
      <c r="AB31" s="138"/>
      <c r="AC31" s="138"/>
      <c r="AD31" s="138"/>
      <c r="AE31" s="138"/>
      <c r="AF31" s="138"/>
    </row>
    <row r="32" spans="3:32" ht="13.5">
      <c r="C32" s="11">
        <v>26</v>
      </c>
      <c r="D32" s="28">
        <v>0.039</v>
      </c>
      <c r="E32" s="32">
        <f t="shared" si="8"/>
        <v>0.00325</v>
      </c>
      <c r="F32" s="138">
        <f t="shared" si="9"/>
        <v>3250</v>
      </c>
      <c r="G32" s="138">
        <f t="shared" si="10"/>
        <v>39000</v>
      </c>
      <c r="H32" s="138"/>
      <c r="I32" s="138"/>
      <c r="J32" s="138">
        <f t="shared" si="11"/>
        <v>2925</v>
      </c>
      <c r="K32" s="138">
        <f t="shared" si="12"/>
        <v>35100</v>
      </c>
      <c r="L32" s="138"/>
      <c r="M32" s="138"/>
      <c r="N32" s="138"/>
      <c r="O32" s="138"/>
      <c r="P32" s="138"/>
      <c r="Q32" s="143">
        <v>26</v>
      </c>
      <c r="R32" s="41">
        <v>29</v>
      </c>
      <c r="S32" s="11">
        <v>26</v>
      </c>
      <c r="T32" s="12">
        <v>0.039</v>
      </c>
      <c r="U32" s="32">
        <f t="shared" si="5"/>
        <v>0.00325</v>
      </c>
      <c r="V32" s="138">
        <f t="shared" si="6"/>
        <v>2925</v>
      </c>
      <c r="W32" s="138">
        <f t="shared" si="7"/>
        <v>35100</v>
      </c>
      <c r="X32" s="138"/>
      <c r="Y32" s="138"/>
      <c r="Z32" s="138"/>
      <c r="AA32" s="138"/>
      <c r="AB32" s="138"/>
      <c r="AC32" s="138"/>
      <c r="AD32" s="138"/>
      <c r="AE32" s="138"/>
      <c r="AF32" s="138"/>
    </row>
    <row r="33" spans="3:32" ht="13.5">
      <c r="C33" s="8">
        <v>27</v>
      </c>
      <c r="D33" s="26">
        <v>0.038</v>
      </c>
      <c r="E33" s="32">
        <f t="shared" si="8"/>
        <v>0.0031666666666666666</v>
      </c>
      <c r="F33" s="138">
        <f t="shared" si="9"/>
        <v>3166.6666666666665</v>
      </c>
      <c r="G33" s="138">
        <f t="shared" si="10"/>
        <v>38000</v>
      </c>
      <c r="H33" s="138"/>
      <c r="I33" s="138"/>
      <c r="J33" s="138">
        <f t="shared" si="11"/>
        <v>2850</v>
      </c>
      <c r="K33" s="138">
        <f t="shared" si="12"/>
        <v>34200</v>
      </c>
      <c r="L33" s="138"/>
      <c r="M33" s="138"/>
      <c r="N33" s="138"/>
      <c r="O33" s="138"/>
      <c r="P33" s="138"/>
      <c r="Q33" s="142">
        <v>27</v>
      </c>
      <c r="R33" s="42">
        <v>30</v>
      </c>
      <c r="S33" s="8">
        <v>27</v>
      </c>
      <c r="T33" s="9">
        <v>0.037</v>
      </c>
      <c r="U33" s="32">
        <f t="shared" si="5"/>
        <v>0.0031666666666666666</v>
      </c>
      <c r="V33" s="138">
        <f t="shared" si="6"/>
        <v>2775</v>
      </c>
      <c r="W33" s="138">
        <f t="shared" si="7"/>
        <v>33300</v>
      </c>
      <c r="X33" s="138"/>
      <c r="Y33" s="138"/>
      <c r="Z33" s="138"/>
      <c r="AA33" s="138"/>
      <c r="AB33" s="138"/>
      <c r="AC33" s="138"/>
      <c r="AD33" s="138"/>
      <c r="AE33" s="138"/>
      <c r="AF33" s="138"/>
    </row>
    <row r="34" spans="3:32" ht="13.5">
      <c r="C34" s="8">
        <v>28</v>
      </c>
      <c r="D34" s="26">
        <v>0.036</v>
      </c>
      <c r="E34" s="32">
        <f t="shared" si="8"/>
        <v>0.0029999999999999996</v>
      </c>
      <c r="F34" s="138">
        <f t="shared" si="9"/>
        <v>3000</v>
      </c>
      <c r="G34" s="138">
        <f t="shared" si="10"/>
        <v>36000</v>
      </c>
      <c r="H34" s="138"/>
      <c r="I34" s="138"/>
      <c r="J34" s="138">
        <f t="shared" si="11"/>
        <v>2699.9999999999995</v>
      </c>
      <c r="K34" s="138">
        <f t="shared" si="12"/>
        <v>32400</v>
      </c>
      <c r="L34" s="138"/>
      <c r="M34" s="138"/>
      <c r="N34" s="138"/>
      <c r="O34" s="138"/>
      <c r="P34" s="138"/>
      <c r="Q34" s="142">
        <v>28</v>
      </c>
      <c r="R34" s="41">
        <v>32</v>
      </c>
      <c r="S34" s="8">
        <v>28</v>
      </c>
      <c r="T34" s="9">
        <v>0.036</v>
      </c>
      <c r="U34" s="32">
        <f t="shared" si="5"/>
        <v>0.0029999999999999996</v>
      </c>
      <c r="V34" s="138">
        <f t="shared" si="6"/>
        <v>2699.9999999999995</v>
      </c>
      <c r="W34" s="138">
        <f t="shared" si="7"/>
        <v>32400</v>
      </c>
      <c r="X34" s="138"/>
      <c r="Y34" s="138"/>
      <c r="Z34" s="138"/>
      <c r="AA34" s="138"/>
      <c r="AB34" s="138"/>
      <c r="AC34" s="138"/>
      <c r="AD34" s="138"/>
      <c r="AE34" s="138"/>
      <c r="AF34" s="138"/>
    </row>
    <row r="35" spans="3:32" ht="13.5">
      <c r="C35" s="8">
        <v>29</v>
      </c>
      <c r="D35" s="26">
        <v>0.035</v>
      </c>
      <c r="E35" s="32">
        <f t="shared" si="8"/>
        <v>0.002916666666666667</v>
      </c>
      <c r="F35" s="138">
        <f t="shared" si="9"/>
        <v>2916.6666666666665</v>
      </c>
      <c r="G35" s="138">
        <f t="shared" si="10"/>
        <v>35000</v>
      </c>
      <c r="H35" s="138"/>
      <c r="I35" s="138"/>
      <c r="J35" s="138">
        <f t="shared" si="11"/>
        <v>2625.0000000000005</v>
      </c>
      <c r="K35" s="138">
        <f t="shared" si="12"/>
        <v>31500</v>
      </c>
      <c r="L35" s="138"/>
      <c r="M35" s="138"/>
      <c r="N35" s="138"/>
      <c r="O35" s="138"/>
      <c r="P35" s="138"/>
      <c r="Q35" s="142">
        <v>29</v>
      </c>
      <c r="R35" s="41">
        <v>33</v>
      </c>
      <c r="S35" s="8">
        <v>29</v>
      </c>
      <c r="T35" s="9">
        <v>0.035</v>
      </c>
      <c r="U35" s="32">
        <f t="shared" si="5"/>
        <v>0.002916666666666667</v>
      </c>
      <c r="V35" s="138">
        <f t="shared" si="6"/>
        <v>2625.0000000000005</v>
      </c>
      <c r="W35" s="138">
        <f t="shared" si="7"/>
        <v>31500</v>
      </c>
      <c r="X35" s="138"/>
      <c r="Y35" s="138"/>
      <c r="Z35" s="138"/>
      <c r="AA35" s="138"/>
      <c r="AB35" s="138"/>
      <c r="AC35" s="138"/>
      <c r="AD35" s="138"/>
      <c r="AE35" s="138"/>
      <c r="AF35" s="138"/>
    </row>
    <row r="36" spans="3:32" ht="13.5">
      <c r="C36" s="13">
        <v>30</v>
      </c>
      <c r="D36" s="27">
        <v>0.034</v>
      </c>
      <c r="E36" s="32">
        <f t="shared" si="8"/>
        <v>0.0028333333333333335</v>
      </c>
      <c r="F36" s="138">
        <f t="shared" si="9"/>
        <v>2833.3333333333335</v>
      </c>
      <c r="G36" s="138">
        <f t="shared" si="10"/>
        <v>34000</v>
      </c>
      <c r="H36" s="138"/>
      <c r="I36" s="138"/>
      <c r="J36" s="138">
        <f t="shared" si="11"/>
        <v>2550.0000000000005</v>
      </c>
      <c r="K36" s="138">
        <f t="shared" si="12"/>
        <v>30600</v>
      </c>
      <c r="L36" s="138"/>
      <c r="M36" s="138"/>
      <c r="N36" s="138"/>
      <c r="O36" s="138"/>
      <c r="P36" s="138"/>
      <c r="Q36" s="144">
        <v>30</v>
      </c>
      <c r="R36" s="41">
        <v>34</v>
      </c>
      <c r="S36" s="13">
        <v>30</v>
      </c>
      <c r="T36" s="10">
        <v>0.034</v>
      </c>
      <c r="U36" s="32">
        <f t="shared" si="5"/>
        <v>0.0028333333333333335</v>
      </c>
      <c r="V36" s="138">
        <f t="shared" si="6"/>
        <v>2550.0000000000005</v>
      </c>
      <c r="W36" s="138">
        <f t="shared" si="7"/>
        <v>30600</v>
      </c>
      <c r="X36" s="138"/>
      <c r="Y36" s="138"/>
      <c r="Z36" s="138"/>
      <c r="AA36" s="138"/>
      <c r="AB36" s="138"/>
      <c r="AC36" s="138"/>
      <c r="AD36" s="138"/>
      <c r="AE36" s="138"/>
      <c r="AF36" s="138"/>
    </row>
    <row r="37" spans="3:32" ht="13.5">
      <c r="C37" s="11">
        <v>31</v>
      </c>
      <c r="D37" s="28">
        <v>0.033</v>
      </c>
      <c r="E37" s="32">
        <f t="shared" si="8"/>
        <v>0.0027500000000000003</v>
      </c>
      <c r="F37" s="138">
        <f t="shared" si="9"/>
        <v>2750</v>
      </c>
      <c r="G37" s="138">
        <f t="shared" si="10"/>
        <v>33000</v>
      </c>
      <c r="H37" s="138"/>
      <c r="I37" s="138"/>
      <c r="J37" s="138">
        <f t="shared" si="11"/>
        <v>2475</v>
      </c>
      <c r="K37" s="138">
        <f t="shared" si="12"/>
        <v>29700</v>
      </c>
      <c r="L37" s="138"/>
      <c r="M37" s="138"/>
      <c r="N37" s="138"/>
      <c r="O37" s="138"/>
      <c r="P37" s="138"/>
      <c r="Q37" s="143">
        <v>31</v>
      </c>
      <c r="R37" s="42">
        <v>35</v>
      </c>
      <c r="S37" s="11">
        <v>31</v>
      </c>
      <c r="T37" s="12">
        <v>0.033</v>
      </c>
      <c r="U37" s="32">
        <f t="shared" si="5"/>
        <v>0.0027500000000000003</v>
      </c>
      <c r="V37" s="138">
        <f t="shared" si="6"/>
        <v>2475</v>
      </c>
      <c r="W37" s="138">
        <f t="shared" si="7"/>
        <v>29700</v>
      </c>
      <c r="X37" s="138"/>
      <c r="Y37" s="138"/>
      <c r="Z37" s="138"/>
      <c r="AA37" s="138"/>
      <c r="AB37" s="138"/>
      <c r="AC37" s="138"/>
      <c r="AD37" s="138"/>
      <c r="AE37" s="138"/>
      <c r="AF37" s="138"/>
    </row>
    <row r="38" spans="3:32" ht="13.5">
      <c r="C38" s="8">
        <v>32</v>
      </c>
      <c r="D38" s="26">
        <v>0.032</v>
      </c>
      <c r="E38" s="32">
        <f t="shared" si="8"/>
        <v>0.0026666666666666666</v>
      </c>
      <c r="F38" s="138">
        <f t="shared" si="9"/>
        <v>2666.6666666666665</v>
      </c>
      <c r="G38" s="138">
        <f t="shared" si="10"/>
        <v>32000</v>
      </c>
      <c r="H38" s="138"/>
      <c r="I38" s="138"/>
      <c r="J38" s="138">
        <f t="shared" si="11"/>
        <v>2400</v>
      </c>
      <c r="K38" s="138">
        <f t="shared" si="12"/>
        <v>28800</v>
      </c>
      <c r="L38" s="138"/>
      <c r="M38" s="138"/>
      <c r="N38" s="138"/>
      <c r="O38" s="138"/>
      <c r="P38" s="138"/>
      <c r="Q38" s="142">
        <v>32</v>
      </c>
      <c r="R38" s="41">
        <v>38</v>
      </c>
      <c r="S38" s="8">
        <v>32</v>
      </c>
      <c r="T38" s="9">
        <v>0.032</v>
      </c>
      <c r="U38" s="32">
        <f t="shared" si="5"/>
        <v>0.0026666666666666666</v>
      </c>
      <c r="V38" s="138">
        <f t="shared" si="6"/>
        <v>2400</v>
      </c>
      <c r="W38" s="138">
        <f t="shared" si="7"/>
        <v>28800</v>
      </c>
      <c r="X38" s="138"/>
      <c r="Y38" s="138"/>
      <c r="Z38" s="138"/>
      <c r="AA38" s="138"/>
      <c r="AB38" s="138"/>
      <c r="AC38" s="138"/>
      <c r="AD38" s="138"/>
      <c r="AE38" s="138"/>
      <c r="AF38" s="138"/>
    </row>
    <row r="39" spans="3:32" ht="13.5">
      <c r="C39" s="8">
        <v>33</v>
      </c>
      <c r="D39" s="26">
        <v>0.031</v>
      </c>
      <c r="E39" s="32">
        <f t="shared" si="8"/>
        <v>0.0025833333333333333</v>
      </c>
      <c r="F39" s="138">
        <f t="shared" si="9"/>
        <v>2583.3333333333335</v>
      </c>
      <c r="G39" s="138">
        <f t="shared" si="10"/>
        <v>31000</v>
      </c>
      <c r="H39" s="138"/>
      <c r="I39" s="138"/>
      <c r="J39" s="138">
        <f t="shared" si="11"/>
        <v>2325</v>
      </c>
      <c r="K39" s="138">
        <f t="shared" si="12"/>
        <v>27900</v>
      </c>
      <c r="L39" s="138"/>
      <c r="M39" s="138"/>
      <c r="N39" s="138"/>
      <c r="O39" s="138"/>
      <c r="P39" s="138"/>
      <c r="Q39" s="142">
        <v>33</v>
      </c>
      <c r="R39" s="41">
        <v>39</v>
      </c>
      <c r="S39" s="8">
        <v>33</v>
      </c>
      <c r="T39" s="9">
        <v>0.031</v>
      </c>
      <c r="U39" s="32">
        <f t="shared" si="5"/>
        <v>0.0025833333333333333</v>
      </c>
      <c r="V39" s="138">
        <f t="shared" si="6"/>
        <v>2325</v>
      </c>
      <c r="W39" s="138">
        <f t="shared" si="7"/>
        <v>27900</v>
      </c>
      <c r="X39" s="138"/>
      <c r="Y39" s="138"/>
      <c r="Z39" s="138"/>
      <c r="AA39" s="138"/>
      <c r="AB39" s="138"/>
      <c r="AC39" s="138"/>
      <c r="AD39" s="138"/>
      <c r="AE39" s="138"/>
      <c r="AF39" s="138"/>
    </row>
    <row r="40" spans="3:32" ht="13.5">
      <c r="C40" s="8">
        <v>34</v>
      </c>
      <c r="D40" s="26">
        <v>0.03</v>
      </c>
      <c r="E40" s="32">
        <f t="shared" si="8"/>
        <v>0.0025</v>
      </c>
      <c r="F40" s="138">
        <f t="shared" si="9"/>
        <v>2500</v>
      </c>
      <c r="G40" s="138">
        <f t="shared" si="10"/>
        <v>30000</v>
      </c>
      <c r="H40" s="138"/>
      <c r="I40" s="138"/>
      <c r="J40" s="138">
        <f t="shared" si="11"/>
        <v>2250</v>
      </c>
      <c r="K40" s="138">
        <f t="shared" si="12"/>
        <v>27000</v>
      </c>
      <c r="L40" s="138"/>
      <c r="M40" s="138"/>
      <c r="N40" s="138"/>
      <c r="O40" s="138"/>
      <c r="P40" s="138"/>
      <c r="Q40" s="142">
        <v>34</v>
      </c>
      <c r="R40" s="41">
        <v>40</v>
      </c>
      <c r="S40" s="8">
        <v>34</v>
      </c>
      <c r="T40" s="9">
        <v>0.03</v>
      </c>
      <c r="U40" s="32">
        <f t="shared" si="5"/>
        <v>0.0025</v>
      </c>
      <c r="V40" s="138">
        <f t="shared" si="6"/>
        <v>2250</v>
      </c>
      <c r="W40" s="138">
        <f t="shared" si="7"/>
        <v>27000</v>
      </c>
      <c r="X40" s="138"/>
      <c r="Y40" s="138"/>
      <c r="Z40" s="138"/>
      <c r="AA40" s="138"/>
      <c r="AB40" s="138"/>
      <c r="AC40" s="138"/>
      <c r="AD40" s="138"/>
      <c r="AE40" s="138"/>
      <c r="AF40" s="138"/>
    </row>
    <row r="41" spans="3:32" ht="13.5">
      <c r="C41" s="14">
        <v>35</v>
      </c>
      <c r="D41" s="29">
        <v>0.029</v>
      </c>
      <c r="E41" s="32">
        <f t="shared" si="8"/>
        <v>0.002416666666666667</v>
      </c>
      <c r="F41" s="138">
        <f t="shared" si="9"/>
        <v>2416.6666666666665</v>
      </c>
      <c r="G41" s="138">
        <f t="shared" si="10"/>
        <v>29000</v>
      </c>
      <c r="H41" s="138"/>
      <c r="I41" s="138"/>
      <c r="J41" s="138">
        <f t="shared" si="11"/>
        <v>2175</v>
      </c>
      <c r="K41" s="138">
        <f t="shared" si="12"/>
        <v>26100</v>
      </c>
      <c r="L41" s="138"/>
      <c r="M41" s="138"/>
      <c r="N41" s="138"/>
      <c r="O41" s="138"/>
      <c r="P41" s="138"/>
      <c r="Q41" s="145">
        <v>35</v>
      </c>
      <c r="R41" s="41">
        <v>41</v>
      </c>
      <c r="S41" s="14">
        <v>35</v>
      </c>
      <c r="T41" s="15">
        <v>0.029</v>
      </c>
      <c r="U41" s="32">
        <f t="shared" si="5"/>
        <v>0.002416666666666667</v>
      </c>
      <c r="V41" s="138">
        <f t="shared" si="6"/>
        <v>2175</v>
      </c>
      <c r="W41" s="138">
        <f t="shared" si="7"/>
        <v>26100</v>
      </c>
      <c r="X41" s="138"/>
      <c r="Y41" s="138"/>
      <c r="Z41" s="138"/>
      <c r="AA41" s="138"/>
      <c r="AB41" s="138"/>
      <c r="AC41" s="138"/>
      <c r="AD41" s="138"/>
      <c r="AE41" s="138"/>
      <c r="AF41" s="138"/>
    </row>
    <row r="42" spans="3:32" ht="13.5">
      <c r="C42" s="16">
        <v>36</v>
      </c>
      <c r="D42" s="30">
        <v>0.028</v>
      </c>
      <c r="E42" s="32">
        <f t="shared" si="8"/>
        <v>0.0023333333333333335</v>
      </c>
      <c r="F42" s="138">
        <f t="shared" si="9"/>
        <v>2333.3333333333335</v>
      </c>
      <c r="G42" s="138">
        <f t="shared" si="10"/>
        <v>28000</v>
      </c>
      <c r="H42" s="138"/>
      <c r="I42" s="138"/>
      <c r="J42" s="138">
        <f t="shared" si="11"/>
        <v>2100</v>
      </c>
      <c r="K42" s="138">
        <f t="shared" si="12"/>
        <v>25200</v>
      </c>
      <c r="L42" s="138"/>
      <c r="M42" s="138"/>
      <c r="N42" s="138"/>
      <c r="O42" s="138"/>
      <c r="P42" s="138"/>
      <c r="Q42" s="146">
        <v>36</v>
      </c>
      <c r="R42" s="44">
        <v>42</v>
      </c>
      <c r="S42" s="16">
        <v>36</v>
      </c>
      <c r="T42" s="17">
        <v>0.028</v>
      </c>
      <c r="U42" s="32">
        <f t="shared" si="5"/>
        <v>0.0023333333333333335</v>
      </c>
      <c r="V42" s="138">
        <f t="shared" si="6"/>
        <v>2100</v>
      </c>
      <c r="W42" s="138">
        <f t="shared" si="7"/>
        <v>25200</v>
      </c>
      <c r="X42" s="138"/>
      <c r="Y42" s="138"/>
      <c r="Z42" s="138"/>
      <c r="AA42" s="138"/>
      <c r="AB42" s="138"/>
      <c r="AC42" s="138"/>
      <c r="AD42" s="138"/>
      <c r="AE42" s="138"/>
      <c r="AF42" s="138"/>
    </row>
    <row r="43" spans="3:32" ht="13.5">
      <c r="C43" s="18">
        <v>37</v>
      </c>
      <c r="D43" s="26">
        <v>0.028</v>
      </c>
      <c r="E43" s="32">
        <f t="shared" si="8"/>
        <v>0.0023333333333333335</v>
      </c>
      <c r="F43" s="138">
        <f t="shared" si="9"/>
        <v>2333.3333333333335</v>
      </c>
      <c r="G43" s="138">
        <f t="shared" si="10"/>
        <v>28000</v>
      </c>
      <c r="H43" s="138"/>
      <c r="I43" s="138"/>
      <c r="J43" s="138">
        <f t="shared" si="11"/>
        <v>2100</v>
      </c>
      <c r="K43" s="138">
        <f t="shared" si="12"/>
        <v>25200</v>
      </c>
      <c r="L43" s="138"/>
      <c r="M43" s="138"/>
      <c r="N43" s="138"/>
      <c r="O43" s="138"/>
      <c r="P43" s="138"/>
      <c r="Q43" s="147">
        <v>37</v>
      </c>
      <c r="R43" s="45">
        <v>44</v>
      </c>
      <c r="S43" s="18">
        <v>37</v>
      </c>
      <c r="T43" s="9">
        <v>0.027</v>
      </c>
      <c r="U43" s="32">
        <f t="shared" si="5"/>
        <v>0.0023333333333333335</v>
      </c>
      <c r="V43" s="138">
        <f t="shared" si="6"/>
        <v>2025</v>
      </c>
      <c r="W43" s="138">
        <f t="shared" si="7"/>
        <v>24300</v>
      </c>
      <c r="X43" s="138"/>
      <c r="Y43" s="138"/>
      <c r="Z43" s="138"/>
      <c r="AA43" s="138"/>
      <c r="AB43" s="138"/>
      <c r="AC43" s="138"/>
      <c r="AD43" s="138"/>
      <c r="AE43" s="138"/>
      <c r="AF43" s="138"/>
    </row>
    <row r="44" spans="3:32" ht="13.5">
      <c r="C44" s="18">
        <v>38</v>
      </c>
      <c r="D44" s="26">
        <v>0.027</v>
      </c>
      <c r="E44" s="32">
        <f t="shared" si="8"/>
        <v>0.00225</v>
      </c>
      <c r="F44" s="138">
        <f t="shared" si="9"/>
        <v>2250</v>
      </c>
      <c r="G44" s="138">
        <f t="shared" si="10"/>
        <v>27000</v>
      </c>
      <c r="H44" s="138"/>
      <c r="I44" s="138"/>
      <c r="J44" s="138">
        <f t="shared" si="11"/>
        <v>2025</v>
      </c>
      <c r="K44" s="138">
        <f t="shared" si="12"/>
        <v>24300</v>
      </c>
      <c r="L44" s="138"/>
      <c r="M44" s="138"/>
      <c r="N44" s="138"/>
      <c r="O44" s="138"/>
      <c r="P44" s="138"/>
      <c r="Q44" s="147">
        <v>38</v>
      </c>
      <c r="R44" s="44">
        <v>45</v>
      </c>
      <c r="S44" s="18">
        <v>38</v>
      </c>
      <c r="T44" s="9">
        <v>0.027</v>
      </c>
      <c r="U44" s="32">
        <f t="shared" si="5"/>
        <v>0.00225</v>
      </c>
      <c r="V44" s="138">
        <f t="shared" si="6"/>
        <v>2025</v>
      </c>
      <c r="W44" s="138">
        <f t="shared" si="7"/>
        <v>24300</v>
      </c>
      <c r="X44" s="138"/>
      <c r="Y44" s="138"/>
      <c r="Z44" s="138"/>
      <c r="AA44" s="138"/>
      <c r="AB44" s="138"/>
      <c r="AC44" s="138"/>
      <c r="AD44" s="138"/>
      <c r="AE44" s="138"/>
      <c r="AF44" s="138"/>
    </row>
    <row r="45" spans="3:32" ht="13.5">
      <c r="C45" s="18">
        <v>39</v>
      </c>
      <c r="D45" s="26">
        <v>0.026</v>
      </c>
      <c r="E45" s="32">
        <f t="shared" si="8"/>
        <v>0.0021666666666666666</v>
      </c>
      <c r="F45" s="138">
        <f t="shared" si="9"/>
        <v>2166.6666666666665</v>
      </c>
      <c r="G45" s="138">
        <f t="shared" si="10"/>
        <v>26000</v>
      </c>
      <c r="H45" s="138"/>
      <c r="I45" s="138"/>
      <c r="J45" s="138">
        <f t="shared" si="11"/>
        <v>1950</v>
      </c>
      <c r="K45" s="138">
        <f t="shared" si="12"/>
        <v>23400</v>
      </c>
      <c r="L45" s="138"/>
      <c r="M45" s="138"/>
      <c r="N45" s="138"/>
      <c r="O45" s="138"/>
      <c r="P45" s="138"/>
      <c r="Q45" s="147">
        <v>39</v>
      </c>
      <c r="R45" s="46">
        <v>47</v>
      </c>
      <c r="S45" s="18">
        <v>39</v>
      </c>
      <c r="T45" s="9">
        <v>0.026</v>
      </c>
      <c r="U45" s="32">
        <f t="shared" si="5"/>
        <v>0.0021666666666666666</v>
      </c>
      <c r="V45" s="138">
        <f t="shared" si="6"/>
        <v>1950</v>
      </c>
      <c r="W45" s="138">
        <f t="shared" si="7"/>
        <v>23400</v>
      </c>
      <c r="X45" s="138"/>
      <c r="Y45" s="138"/>
      <c r="Z45" s="138"/>
      <c r="AA45" s="138"/>
      <c r="AB45" s="138"/>
      <c r="AC45" s="138"/>
      <c r="AD45" s="138"/>
      <c r="AE45" s="138"/>
      <c r="AF45" s="138"/>
    </row>
    <row r="46" spans="3:32" ht="13.5">
      <c r="C46" s="19">
        <v>40</v>
      </c>
      <c r="D46" s="27">
        <v>0.025</v>
      </c>
      <c r="E46" s="32">
        <f t="shared" si="8"/>
        <v>0.0020833333333333333</v>
      </c>
      <c r="F46" s="138">
        <f t="shared" si="9"/>
        <v>2083.3333333333335</v>
      </c>
      <c r="G46" s="138">
        <f t="shared" si="10"/>
        <v>25000</v>
      </c>
      <c r="H46" s="138"/>
      <c r="I46" s="138"/>
      <c r="J46" s="138">
        <f t="shared" si="11"/>
        <v>1875</v>
      </c>
      <c r="K46" s="138">
        <f t="shared" si="12"/>
        <v>22500</v>
      </c>
      <c r="L46" s="138"/>
      <c r="M46" s="138"/>
      <c r="N46" s="138"/>
      <c r="O46" s="138"/>
      <c r="P46" s="138"/>
      <c r="Q46" s="148">
        <v>40</v>
      </c>
      <c r="R46" s="45"/>
      <c r="S46" s="19">
        <v>40</v>
      </c>
      <c r="T46" s="10">
        <v>0.025</v>
      </c>
      <c r="U46" s="32">
        <f t="shared" si="5"/>
        <v>0.0020833333333333333</v>
      </c>
      <c r="V46" s="138">
        <f t="shared" si="6"/>
        <v>1875</v>
      </c>
      <c r="W46" s="138">
        <f t="shared" si="7"/>
        <v>22500</v>
      </c>
      <c r="X46" s="138"/>
      <c r="Y46" s="138"/>
      <c r="Z46" s="138"/>
      <c r="AA46" s="138"/>
      <c r="AB46" s="138"/>
      <c r="AC46" s="138"/>
      <c r="AD46" s="138"/>
      <c r="AE46" s="138"/>
      <c r="AF46" s="138"/>
    </row>
    <row r="47" spans="3:32" ht="13.5">
      <c r="C47" s="11">
        <v>41</v>
      </c>
      <c r="D47" s="28">
        <v>0.025</v>
      </c>
      <c r="E47" s="32">
        <f t="shared" si="8"/>
        <v>0.0020833333333333333</v>
      </c>
      <c r="F47" s="138">
        <f t="shared" si="9"/>
        <v>2083.3333333333335</v>
      </c>
      <c r="G47" s="138">
        <f t="shared" si="10"/>
        <v>25000</v>
      </c>
      <c r="H47" s="138"/>
      <c r="I47" s="138"/>
      <c r="J47" s="138">
        <f t="shared" si="11"/>
        <v>1875</v>
      </c>
      <c r="K47" s="138">
        <f t="shared" si="12"/>
        <v>22500</v>
      </c>
      <c r="L47" s="138"/>
      <c r="M47" s="138"/>
      <c r="N47" s="138"/>
      <c r="O47" s="138"/>
      <c r="P47" s="138"/>
      <c r="Q47" s="143">
        <v>41</v>
      </c>
      <c r="R47" s="46">
        <v>50</v>
      </c>
      <c r="S47" s="11">
        <v>41</v>
      </c>
      <c r="T47" s="12">
        <v>0.025</v>
      </c>
      <c r="U47" s="32">
        <f t="shared" si="5"/>
        <v>0.0020833333333333333</v>
      </c>
      <c r="V47" s="138">
        <f t="shared" si="6"/>
        <v>1875</v>
      </c>
      <c r="W47" s="138">
        <f t="shared" si="7"/>
        <v>22500</v>
      </c>
      <c r="X47" s="138"/>
      <c r="Y47" s="138"/>
      <c r="Z47" s="138"/>
      <c r="AA47" s="138"/>
      <c r="AB47" s="138"/>
      <c r="AC47" s="138"/>
      <c r="AD47" s="138"/>
      <c r="AE47" s="138"/>
      <c r="AF47" s="138"/>
    </row>
    <row r="48" spans="3:32" ht="13.5">
      <c r="C48" s="8">
        <v>42</v>
      </c>
      <c r="D48" s="26">
        <v>0.024</v>
      </c>
      <c r="E48" s="32">
        <f t="shared" si="8"/>
        <v>0.002</v>
      </c>
      <c r="F48" s="138">
        <f t="shared" si="9"/>
        <v>2000</v>
      </c>
      <c r="G48" s="138">
        <f t="shared" si="10"/>
        <v>24000</v>
      </c>
      <c r="H48" s="138"/>
      <c r="I48" s="138"/>
      <c r="J48" s="138">
        <f t="shared" si="11"/>
        <v>1800</v>
      </c>
      <c r="K48" s="138">
        <f t="shared" si="12"/>
        <v>21600</v>
      </c>
      <c r="L48" s="138"/>
      <c r="M48" s="138"/>
      <c r="N48" s="138"/>
      <c r="O48" s="138"/>
      <c r="P48" s="138"/>
      <c r="Q48" s="142">
        <v>42</v>
      </c>
      <c r="R48" s="45"/>
      <c r="S48" s="8">
        <v>42</v>
      </c>
      <c r="T48" s="9">
        <v>0.024</v>
      </c>
      <c r="U48" s="32">
        <f t="shared" si="5"/>
        <v>0.002</v>
      </c>
      <c r="V48" s="138">
        <f t="shared" si="6"/>
        <v>1800</v>
      </c>
      <c r="W48" s="138">
        <f t="shared" si="7"/>
        <v>21600</v>
      </c>
      <c r="X48" s="138"/>
      <c r="Y48" s="138"/>
      <c r="Z48" s="138"/>
      <c r="AA48" s="138"/>
      <c r="AB48" s="138"/>
      <c r="AC48" s="138"/>
      <c r="AD48" s="138"/>
      <c r="AE48" s="138"/>
      <c r="AF48" s="138"/>
    </row>
    <row r="49" spans="3:32" ht="13.5">
      <c r="C49" s="8">
        <v>43</v>
      </c>
      <c r="D49" s="26">
        <v>0.024</v>
      </c>
      <c r="E49" s="32">
        <f t="shared" si="8"/>
        <v>0.002</v>
      </c>
      <c r="F49" s="138">
        <f t="shared" si="9"/>
        <v>2000</v>
      </c>
      <c r="G49" s="138">
        <f t="shared" si="10"/>
        <v>24000</v>
      </c>
      <c r="H49" s="138"/>
      <c r="I49" s="138"/>
      <c r="J49" s="138">
        <f t="shared" si="11"/>
        <v>1800</v>
      </c>
      <c r="K49" s="138">
        <f t="shared" si="12"/>
        <v>21600</v>
      </c>
      <c r="L49" s="138"/>
      <c r="M49" s="138"/>
      <c r="N49" s="138"/>
      <c r="O49" s="138"/>
      <c r="P49" s="138"/>
      <c r="Q49" s="142">
        <v>43</v>
      </c>
      <c r="R49" s="45"/>
      <c r="S49" s="8">
        <v>43</v>
      </c>
      <c r="T49" s="9">
        <v>0.024</v>
      </c>
      <c r="U49" s="32">
        <f t="shared" si="5"/>
        <v>0.002</v>
      </c>
      <c r="V49" s="138">
        <f t="shared" si="6"/>
        <v>1800</v>
      </c>
      <c r="W49" s="138">
        <f t="shared" si="7"/>
        <v>21600</v>
      </c>
      <c r="X49" s="138"/>
      <c r="Y49" s="138"/>
      <c r="Z49" s="138"/>
      <c r="AA49" s="138"/>
      <c r="AB49" s="138"/>
      <c r="AC49" s="138"/>
      <c r="AD49" s="138"/>
      <c r="AE49" s="138"/>
      <c r="AF49" s="138"/>
    </row>
    <row r="50" spans="3:32" ht="13.5">
      <c r="C50" s="8">
        <v>44</v>
      </c>
      <c r="D50" s="26">
        <v>0.023</v>
      </c>
      <c r="E50" s="32">
        <f t="shared" si="8"/>
        <v>0.0019166666666666666</v>
      </c>
      <c r="F50" s="138">
        <f t="shared" si="9"/>
        <v>1916.6666666666667</v>
      </c>
      <c r="G50" s="138">
        <f t="shared" si="10"/>
        <v>23000</v>
      </c>
      <c r="H50" s="138"/>
      <c r="I50" s="138"/>
      <c r="J50" s="138">
        <f t="shared" si="11"/>
        <v>1725</v>
      </c>
      <c r="K50" s="138">
        <f t="shared" si="12"/>
        <v>20700</v>
      </c>
      <c r="L50" s="138"/>
      <c r="M50" s="138"/>
      <c r="N50" s="138"/>
      <c r="O50" s="138"/>
      <c r="P50" s="138"/>
      <c r="Q50" s="142">
        <v>44</v>
      </c>
      <c r="R50" s="45"/>
      <c r="S50" s="8">
        <v>44</v>
      </c>
      <c r="T50" s="9">
        <v>0.023</v>
      </c>
      <c r="U50" s="32">
        <f t="shared" si="5"/>
        <v>0.0019166666666666666</v>
      </c>
      <c r="V50" s="138">
        <f t="shared" si="6"/>
        <v>1725</v>
      </c>
      <c r="W50" s="138">
        <f t="shared" si="7"/>
        <v>20700</v>
      </c>
      <c r="X50" s="138"/>
      <c r="Y50" s="138"/>
      <c r="Z50" s="138"/>
      <c r="AA50" s="138"/>
      <c r="AB50" s="138"/>
      <c r="AC50" s="138"/>
      <c r="AD50" s="138"/>
      <c r="AE50" s="138"/>
      <c r="AF50" s="138"/>
    </row>
    <row r="51" spans="3:32" ht="13.5">
      <c r="C51" s="13">
        <v>45</v>
      </c>
      <c r="D51" s="27">
        <v>0.023</v>
      </c>
      <c r="E51" s="32">
        <f t="shared" si="8"/>
        <v>0.0019166666666666666</v>
      </c>
      <c r="F51" s="138">
        <f t="shared" si="9"/>
        <v>1916.6666666666667</v>
      </c>
      <c r="G51" s="138">
        <f t="shared" si="10"/>
        <v>23000</v>
      </c>
      <c r="H51" s="138"/>
      <c r="I51" s="138"/>
      <c r="J51" s="138">
        <f t="shared" si="11"/>
        <v>1725</v>
      </c>
      <c r="K51" s="138">
        <f t="shared" si="12"/>
        <v>20700</v>
      </c>
      <c r="L51" s="138"/>
      <c r="M51" s="138"/>
      <c r="N51" s="138"/>
      <c r="O51" s="138"/>
      <c r="P51" s="138"/>
      <c r="Q51" s="144">
        <v>45</v>
      </c>
      <c r="R51" s="45"/>
      <c r="S51" s="13">
        <v>45</v>
      </c>
      <c r="T51" s="10">
        <v>0.023</v>
      </c>
      <c r="U51" s="32">
        <f t="shared" si="5"/>
        <v>0.0019166666666666666</v>
      </c>
      <c r="V51" s="138">
        <f t="shared" si="6"/>
        <v>1725</v>
      </c>
      <c r="W51" s="138">
        <f t="shared" si="7"/>
        <v>20700</v>
      </c>
      <c r="X51" s="138"/>
      <c r="Y51" s="138"/>
      <c r="Z51" s="138"/>
      <c r="AA51" s="138"/>
      <c r="AB51" s="138"/>
      <c r="AC51" s="138"/>
      <c r="AD51" s="138"/>
      <c r="AE51" s="138"/>
      <c r="AF51" s="138"/>
    </row>
    <row r="52" spans="3:32" ht="13.5">
      <c r="C52" s="20">
        <v>46</v>
      </c>
      <c r="D52" s="28">
        <v>0.022</v>
      </c>
      <c r="E52" s="32">
        <f t="shared" si="8"/>
        <v>0.0018333333333333333</v>
      </c>
      <c r="F52" s="138">
        <f t="shared" si="9"/>
        <v>1833.3333333333333</v>
      </c>
      <c r="G52" s="138">
        <f t="shared" si="10"/>
        <v>22000</v>
      </c>
      <c r="H52" s="138"/>
      <c r="I52" s="138"/>
      <c r="J52" s="138">
        <f t="shared" si="11"/>
        <v>1650</v>
      </c>
      <c r="K52" s="138">
        <f t="shared" si="12"/>
        <v>19800</v>
      </c>
      <c r="L52" s="138"/>
      <c r="M52" s="138"/>
      <c r="N52" s="138"/>
      <c r="O52" s="138"/>
      <c r="P52" s="138"/>
      <c r="Q52" s="149">
        <v>46</v>
      </c>
      <c r="R52" s="45"/>
      <c r="S52" s="20">
        <v>46</v>
      </c>
      <c r="T52" s="12">
        <v>0.022</v>
      </c>
      <c r="U52" s="32">
        <f t="shared" si="5"/>
        <v>0.0018333333333333333</v>
      </c>
      <c r="V52" s="138">
        <f t="shared" si="6"/>
        <v>1650</v>
      </c>
      <c r="W52" s="138">
        <f t="shared" si="7"/>
        <v>19800</v>
      </c>
      <c r="X52" s="138"/>
      <c r="Y52" s="138"/>
      <c r="Z52" s="138"/>
      <c r="AA52" s="138"/>
      <c r="AB52" s="138"/>
      <c r="AC52" s="138"/>
      <c r="AD52" s="138"/>
      <c r="AE52" s="138"/>
      <c r="AF52" s="138"/>
    </row>
    <row r="53" spans="3:32" ht="13.5">
      <c r="C53" s="18">
        <v>47</v>
      </c>
      <c r="D53" s="26">
        <v>0.022</v>
      </c>
      <c r="E53" s="32">
        <f t="shared" si="8"/>
        <v>0.0018333333333333333</v>
      </c>
      <c r="F53" s="138">
        <f t="shared" si="9"/>
        <v>1833.3333333333333</v>
      </c>
      <c r="G53" s="138">
        <f t="shared" si="10"/>
        <v>22000</v>
      </c>
      <c r="H53" s="138"/>
      <c r="I53" s="138"/>
      <c r="J53" s="138">
        <f t="shared" si="11"/>
        <v>1650</v>
      </c>
      <c r="K53" s="138">
        <f t="shared" si="12"/>
        <v>19800</v>
      </c>
      <c r="L53" s="138"/>
      <c r="M53" s="138"/>
      <c r="N53" s="138"/>
      <c r="O53" s="138"/>
      <c r="P53" s="138"/>
      <c r="Q53" s="147">
        <v>47</v>
      </c>
      <c r="R53" s="45"/>
      <c r="S53" s="18">
        <v>47</v>
      </c>
      <c r="T53" s="9">
        <v>0.022</v>
      </c>
      <c r="U53" s="32">
        <f t="shared" si="5"/>
        <v>0.0018333333333333333</v>
      </c>
      <c r="V53" s="138">
        <f t="shared" si="6"/>
        <v>1650</v>
      </c>
      <c r="W53" s="138">
        <f t="shared" si="7"/>
        <v>19800</v>
      </c>
      <c r="X53" s="138"/>
      <c r="Y53" s="138"/>
      <c r="Z53" s="138"/>
      <c r="AA53" s="138"/>
      <c r="AB53" s="138"/>
      <c r="AC53" s="138"/>
      <c r="AD53" s="138"/>
      <c r="AE53" s="138"/>
      <c r="AF53" s="138"/>
    </row>
    <row r="54" spans="3:32" ht="13.5">
      <c r="C54" s="18">
        <v>48</v>
      </c>
      <c r="D54" s="26">
        <v>0.021</v>
      </c>
      <c r="E54" s="32">
        <f t="shared" si="8"/>
        <v>0.00175</v>
      </c>
      <c r="F54" s="138">
        <f t="shared" si="9"/>
        <v>1750</v>
      </c>
      <c r="G54" s="138">
        <f t="shared" si="10"/>
        <v>21000</v>
      </c>
      <c r="H54" s="138"/>
      <c r="I54" s="138"/>
      <c r="J54" s="138">
        <f t="shared" si="11"/>
        <v>1575</v>
      </c>
      <c r="K54" s="138">
        <f t="shared" si="12"/>
        <v>18900</v>
      </c>
      <c r="L54" s="138"/>
      <c r="M54" s="138"/>
      <c r="N54" s="138"/>
      <c r="O54" s="138"/>
      <c r="P54" s="138"/>
      <c r="Q54" s="147">
        <v>48</v>
      </c>
      <c r="R54" s="45"/>
      <c r="S54" s="18">
        <v>48</v>
      </c>
      <c r="T54" s="9">
        <v>0.021</v>
      </c>
      <c r="U54" s="32">
        <f t="shared" si="5"/>
        <v>0.00175</v>
      </c>
      <c r="V54" s="138">
        <f t="shared" si="6"/>
        <v>1575</v>
      </c>
      <c r="W54" s="138">
        <f t="shared" si="7"/>
        <v>18900</v>
      </c>
      <c r="X54" s="138"/>
      <c r="Y54" s="138"/>
      <c r="Z54" s="138"/>
      <c r="AA54" s="138"/>
      <c r="AB54" s="138"/>
      <c r="AC54" s="138"/>
      <c r="AD54" s="138"/>
      <c r="AE54" s="138"/>
      <c r="AF54" s="138"/>
    </row>
    <row r="55" spans="3:32" ht="13.5">
      <c r="C55" s="18">
        <v>49</v>
      </c>
      <c r="D55" s="26">
        <v>0.021</v>
      </c>
      <c r="E55" s="32">
        <f t="shared" si="8"/>
        <v>0.00175</v>
      </c>
      <c r="F55" s="138">
        <f t="shared" si="9"/>
        <v>1750</v>
      </c>
      <c r="G55" s="138">
        <f t="shared" si="10"/>
        <v>21000</v>
      </c>
      <c r="H55" s="138"/>
      <c r="I55" s="138"/>
      <c r="J55" s="138">
        <f t="shared" si="11"/>
        <v>1575</v>
      </c>
      <c r="K55" s="138">
        <f t="shared" si="12"/>
        <v>18900</v>
      </c>
      <c r="L55" s="138"/>
      <c r="M55" s="138"/>
      <c r="N55" s="138"/>
      <c r="O55" s="138"/>
      <c r="P55" s="138"/>
      <c r="Q55" s="147">
        <v>49</v>
      </c>
      <c r="R55" s="45"/>
      <c r="S55" s="18">
        <v>49</v>
      </c>
      <c r="T55" s="9">
        <v>0.021</v>
      </c>
      <c r="U55" s="32">
        <f t="shared" si="5"/>
        <v>0.00175</v>
      </c>
      <c r="V55" s="138">
        <f t="shared" si="6"/>
        <v>1575</v>
      </c>
      <c r="W55" s="138">
        <f t="shared" si="7"/>
        <v>18900</v>
      </c>
      <c r="X55" s="138"/>
      <c r="Y55" s="138"/>
      <c r="Z55" s="138"/>
      <c r="AA55" s="138"/>
      <c r="AB55" s="138"/>
      <c r="AC55" s="138"/>
      <c r="AD55" s="138"/>
      <c r="AE55" s="138"/>
      <c r="AF55" s="138"/>
    </row>
    <row r="56" spans="3:32" ht="14.25" thickBot="1">
      <c r="C56" s="19">
        <v>50</v>
      </c>
      <c r="D56" s="27">
        <v>0.02</v>
      </c>
      <c r="E56" s="32">
        <f t="shared" si="8"/>
        <v>0.0016666666666666668</v>
      </c>
      <c r="F56" s="138">
        <f t="shared" si="9"/>
        <v>1666.6666666666667</v>
      </c>
      <c r="G56" s="138">
        <f t="shared" si="10"/>
        <v>20000</v>
      </c>
      <c r="H56" s="138"/>
      <c r="I56" s="138"/>
      <c r="J56" s="138">
        <f t="shared" si="11"/>
        <v>1500</v>
      </c>
      <c r="K56" s="138">
        <f t="shared" si="12"/>
        <v>18000</v>
      </c>
      <c r="L56" s="138"/>
      <c r="M56" s="138"/>
      <c r="N56" s="138"/>
      <c r="O56" s="138"/>
      <c r="P56" s="138"/>
      <c r="Q56" s="148">
        <v>50</v>
      </c>
      <c r="R56" s="47">
        <v>65</v>
      </c>
      <c r="S56" s="19">
        <v>50</v>
      </c>
      <c r="T56" s="10">
        <v>0.02</v>
      </c>
      <c r="U56" s="32">
        <f t="shared" si="5"/>
        <v>0.0016666666666666668</v>
      </c>
      <c r="V56" s="138">
        <f t="shared" si="6"/>
        <v>1500</v>
      </c>
      <c r="W56" s="138">
        <f t="shared" si="7"/>
        <v>18000</v>
      </c>
      <c r="X56" s="138"/>
      <c r="Y56" s="138"/>
      <c r="Z56" s="138"/>
      <c r="AA56" s="138"/>
      <c r="AB56" s="138"/>
      <c r="AC56" s="138"/>
      <c r="AD56" s="138"/>
      <c r="AE56" s="138"/>
      <c r="AF56" s="138"/>
    </row>
    <row r="57" spans="3:32" ht="13.5">
      <c r="C57" s="20">
        <v>51</v>
      </c>
      <c r="D57" s="28">
        <v>0.02</v>
      </c>
      <c r="E57" s="32">
        <f t="shared" si="8"/>
        <v>0.0016666666666666668</v>
      </c>
      <c r="F57" s="138">
        <f t="shared" si="9"/>
        <v>1666.6666666666667</v>
      </c>
      <c r="G57" s="138">
        <f t="shared" si="10"/>
        <v>20000</v>
      </c>
      <c r="H57" s="138"/>
      <c r="I57" s="138"/>
      <c r="J57" s="138">
        <f t="shared" si="11"/>
        <v>1500</v>
      </c>
      <c r="K57" s="138">
        <f t="shared" si="12"/>
        <v>18000</v>
      </c>
      <c r="L57" s="138"/>
      <c r="M57" s="138"/>
      <c r="N57" s="138"/>
      <c r="O57" s="138"/>
      <c r="P57" s="138"/>
      <c r="Q57" s="149">
        <v>51</v>
      </c>
      <c r="R57" s="48"/>
      <c r="S57" s="20">
        <v>51</v>
      </c>
      <c r="T57" s="12">
        <v>0.02</v>
      </c>
      <c r="U57" s="32">
        <f t="shared" si="5"/>
        <v>0.0016666666666666668</v>
      </c>
      <c r="V57" s="138">
        <f t="shared" si="6"/>
        <v>1500</v>
      </c>
      <c r="W57" s="138">
        <f t="shared" si="7"/>
        <v>18000</v>
      </c>
      <c r="X57" s="138"/>
      <c r="Y57" s="138"/>
      <c r="Z57" s="138"/>
      <c r="AA57" s="138"/>
      <c r="AB57" s="138"/>
      <c r="AC57" s="138"/>
      <c r="AD57" s="138"/>
      <c r="AE57" s="138"/>
      <c r="AF57" s="138"/>
    </row>
    <row r="58" spans="3:32" ht="13.5">
      <c r="C58" s="18">
        <v>52</v>
      </c>
      <c r="D58" s="26">
        <v>0.02</v>
      </c>
      <c r="E58" s="32">
        <f t="shared" si="8"/>
        <v>0.0016666666666666668</v>
      </c>
      <c r="F58" s="138">
        <f t="shared" si="9"/>
        <v>1666.6666666666667</v>
      </c>
      <c r="G58" s="138">
        <f t="shared" si="10"/>
        <v>20000</v>
      </c>
      <c r="H58" s="138"/>
      <c r="I58" s="138"/>
      <c r="J58" s="138">
        <f t="shared" si="11"/>
        <v>1500</v>
      </c>
      <c r="K58" s="138">
        <f t="shared" si="12"/>
        <v>18000</v>
      </c>
      <c r="L58" s="138"/>
      <c r="M58" s="138"/>
      <c r="N58" s="138"/>
      <c r="O58" s="138"/>
      <c r="P58" s="138"/>
      <c r="Q58" s="147">
        <v>52</v>
      </c>
      <c r="R58" s="48"/>
      <c r="S58" s="18">
        <v>52</v>
      </c>
      <c r="T58" s="9">
        <v>0.02</v>
      </c>
      <c r="U58" s="32">
        <f t="shared" si="5"/>
        <v>0.0016666666666666668</v>
      </c>
      <c r="V58" s="138">
        <f t="shared" si="6"/>
        <v>1500</v>
      </c>
      <c r="W58" s="138">
        <f t="shared" si="7"/>
        <v>18000</v>
      </c>
      <c r="X58" s="138"/>
      <c r="Y58" s="138"/>
      <c r="Z58" s="138"/>
      <c r="AA58" s="138"/>
      <c r="AB58" s="138"/>
      <c r="AC58" s="138"/>
      <c r="AD58" s="138"/>
      <c r="AE58" s="138"/>
      <c r="AF58" s="138"/>
    </row>
    <row r="59" spans="3:32" ht="13.5">
      <c r="C59" s="18">
        <v>53</v>
      </c>
      <c r="D59" s="26">
        <v>0.019</v>
      </c>
      <c r="E59" s="32">
        <f t="shared" si="8"/>
        <v>0.0015833333333333333</v>
      </c>
      <c r="F59" s="138">
        <f t="shared" si="9"/>
        <v>1583.3333333333333</v>
      </c>
      <c r="G59" s="138">
        <f t="shared" si="10"/>
        <v>19000</v>
      </c>
      <c r="H59" s="138"/>
      <c r="I59" s="138"/>
      <c r="J59" s="138">
        <f t="shared" si="11"/>
        <v>1425</v>
      </c>
      <c r="K59" s="138">
        <f t="shared" si="12"/>
        <v>17100</v>
      </c>
      <c r="L59" s="138"/>
      <c r="M59" s="138"/>
      <c r="N59" s="138"/>
      <c r="O59" s="138"/>
      <c r="P59" s="138"/>
      <c r="Q59" s="147">
        <v>53</v>
      </c>
      <c r="R59" s="48"/>
      <c r="S59" s="18">
        <v>53</v>
      </c>
      <c r="T59" s="9">
        <v>0.019</v>
      </c>
      <c r="U59" s="32">
        <f t="shared" si="5"/>
        <v>0.0015833333333333333</v>
      </c>
      <c r="V59" s="138">
        <f t="shared" si="6"/>
        <v>1425</v>
      </c>
      <c r="W59" s="138">
        <f t="shared" si="7"/>
        <v>17100</v>
      </c>
      <c r="X59" s="138"/>
      <c r="Y59" s="138"/>
      <c r="Z59" s="138"/>
      <c r="AA59" s="138"/>
      <c r="AB59" s="138"/>
      <c r="AC59" s="138"/>
      <c r="AD59" s="138"/>
      <c r="AE59" s="138"/>
      <c r="AF59" s="138"/>
    </row>
    <row r="60" spans="3:32" ht="13.5">
      <c r="C60" s="18">
        <v>54</v>
      </c>
      <c r="D60" s="26">
        <v>0.019</v>
      </c>
      <c r="E60" s="32">
        <f t="shared" si="8"/>
        <v>0.0015833333333333333</v>
      </c>
      <c r="F60" s="138">
        <f t="shared" si="9"/>
        <v>1583.3333333333333</v>
      </c>
      <c r="G60" s="138">
        <f t="shared" si="10"/>
        <v>19000</v>
      </c>
      <c r="H60" s="138"/>
      <c r="I60" s="138"/>
      <c r="J60" s="138">
        <f t="shared" si="11"/>
        <v>1425</v>
      </c>
      <c r="K60" s="138">
        <f t="shared" si="12"/>
        <v>17100</v>
      </c>
      <c r="L60" s="138"/>
      <c r="M60" s="138"/>
      <c r="N60" s="138"/>
      <c r="O60" s="138"/>
      <c r="P60" s="138"/>
      <c r="Q60" s="147">
        <v>54</v>
      </c>
      <c r="R60" s="48"/>
      <c r="S60" s="18">
        <v>54</v>
      </c>
      <c r="T60" s="9">
        <v>0.019</v>
      </c>
      <c r="U60" s="32">
        <f t="shared" si="5"/>
        <v>0.0015833333333333333</v>
      </c>
      <c r="V60" s="138">
        <f t="shared" si="6"/>
        <v>1425</v>
      </c>
      <c r="W60" s="138">
        <f t="shared" si="7"/>
        <v>17100</v>
      </c>
      <c r="X60" s="138"/>
      <c r="Y60" s="138"/>
      <c r="Z60" s="138"/>
      <c r="AA60" s="138"/>
      <c r="AB60" s="138"/>
      <c r="AC60" s="138"/>
      <c r="AD60" s="138"/>
      <c r="AE60" s="138"/>
      <c r="AF60" s="138"/>
    </row>
    <row r="61" spans="3:32" ht="13.5">
      <c r="C61" s="19">
        <v>55</v>
      </c>
      <c r="D61" s="27">
        <v>0.019</v>
      </c>
      <c r="E61" s="32">
        <f t="shared" si="8"/>
        <v>0.0015833333333333333</v>
      </c>
      <c r="F61" s="138">
        <f t="shared" si="9"/>
        <v>1583.3333333333333</v>
      </c>
      <c r="G61" s="138">
        <f t="shared" si="10"/>
        <v>19000</v>
      </c>
      <c r="H61" s="138"/>
      <c r="I61" s="138"/>
      <c r="J61" s="138">
        <f t="shared" si="11"/>
        <v>1425</v>
      </c>
      <c r="K61" s="138">
        <f t="shared" si="12"/>
        <v>17100</v>
      </c>
      <c r="L61" s="138"/>
      <c r="M61" s="138"/>
      <c r="N61" s="138"/>
      <c r="O61" s="138"/>
      <c r="P61" s="138"/>
      <c r="Q61" s="148">
        <v>55</v>
      </c>
      <c r="R61" s="48"/>
      <c r="S61" s="19">
        <v>55</v>
      </c>
      <c r="T61" s="10">
        <v>0.019</v>
      </c>
      <c r="U61" s="32">
        <f t="shared" si="5"/>
        <v>0.0015833333333333333</v>
      </c>
      <c r="V61" s="138">
        <f t="shared" si="6"/>
        <v>1425</v>
      </c>
      <c r="W61" s="138">
        <f t="shared" si="7"/>
        <v>17100</v>
      </c>
      <c r="X61" s="138"/>
      <c r="Y61" s="138"/>
      <c r="Z61" s="138"/>
      <c r="AA61" s="138"/>
      <c r="AB61" s="138"/>
      <c r="AC61" s="138"/>
      <c r="AD61" s="138"/>
      <c r="AE61" s="138"/>
      <c r="AF61" s="138"/>
    </row>
    <row r="62" spans="3:32" ht="13.5">
      <c r="C62" s="20">
        <v>56</v>
      </c>
      <c r="D62" s="28">
        <v>0.018</v>
      </c>
      <c r="E62" s="32">
        <f t="shared" si="8"/>
        <v>0.0014999999999999998</v>
      </c>
      <c r="F62" s="138">
        <f t="shared" si="9"/>
        <v>1500</v>
      </c>
      <c r="G62" s="138">
        <f t="shared" si="10"/>
        <v>18000</v>
      </c>
      <c r="H62" s="138"/>
      <c r="I62" s="138"/>
      <c r="J62" s="138">
        <f t="shared" si="11"/>
        <v>1349.9999999999998</v>
      </c>
      <c r="K62" s="138">
        <f t="shared" si="12"/>
        <v>16200</v>
      </c>
      <c r="L62" s="138"/>
      <c r="M62" s="138"/>
      <c r="N62" s="138"/>
      <c r="O62" s="138"/>
      <c r="P62" s="138"/>
      <c r="Q62" s="149">
        <v>56</v>
      </c>
      <c r="R62" s="48"/>
      <c r="S62" s="20">
        <v>56</v>
      </c>
      <c r="T62" s="12">
        <v>0.018</v>
      </c>
      <c r="U62" s="32">
        <f t="shared" si="5"/>
        <v>0.0014999999999999998</v>
      </c>
      <c r="V62" s="138">
        <f t="shared" si="6"/>
        <v>1349.9999999999998</v>
      </c>
      <c r="W62" s="138">
        <f t="shared" si="7"/>
        <v>16200</v>
      </c>
      <c r="X62" s="138"/>
      <c r="Y62" s="138"/>
      <c r="Z62" s="138"/>
      <c r="AA62" s="138"/>
      <c r="AB62" s="138"/>
      <c r="AC62" s="138"/>
      <c r="AD62" s="138"/>
      <c r="AE62" s="138"/>
      <c r="AF62" s="138"/>
    </row>
    <row r="63" spans="3:32" ht="13.5">
      <c r="C63" s="18">
        <v>57</v>
      </c>
      <c r="D63" s="26">
        <v>0.018</v>
      </c>
      <c r="E63" s="32">
        <f t="shared" si="8"/>
        <v>0.0014999999999999998</v>
      </c>
      <c r="F63" s="138">
        <f t="shared" si="9"/>
        <v>1500</v>
      </c>
      <c r="G63" s="138">
        <f t="shared" si="10"/>
        <v>18000</v>
      </c>
      <c r="H63" s="138"/>
      <c r="I63" s="138"/>
      <c r="J63" s="138">
        <f t="shared" si="11"/>
        <v>1349.9999999999998</v>
      </c>
      <c r="K63" s="138">
        <f t="shared" si="12"/>
        <v>16200</v>
      </c>
      <c r="L63" s="138"/>
      <c r="M63" s="138"/>
      <c r="N63" s="138"/>
      <c r="O63" s="138"/>
      <c r="P63" s="138"/>
      <c r="Q63" s="147">
        <v>57</v>
      </c>
      <c r="R63" s="48"/>
      <c r="S63" s="18">
        <v>57</v>
      </c>
      <c r="T63" s="9">
        <v>0.018</v>
      </c>
      <c r="U63" s="32">
        <f t="shared" si="5"/>
        <v>0.0014999999999999998</v>
      </c>
      <c r="V63" s="138">
        <f t="shared" si="6"/>
        <v>1349.9999999999998</v>
      </c>
      <c r="W63" s="138">
        <f t="shared" si="7"/>
        <v>16200</v>
      </c>
      <c r="X63" s="138"/>
      <c r="Y63" s="138"/>
      <c r="Z63" s="138"/>
      <c r="AA63" s="138"/>
      <c r="AB63" s="138"/>
      <c r="AC63" s="138"/>
      <c r="AD63" s="138"/>
      <c r="AE63" s="138"/>
      <c r="AF63" s="138"/>
    </row>
    <row r="64" spans="3:32" ht="13.5">
      <c r="C64" s="18">
        <v>58</v>
      </c>
      <c r="D64" s="26">
        <v>0.018</v>
      </c>
      <c r="E64" s="32">
        <f t="shared" si="8"/>
        <v>0.0014999999999999998</v>
      </c>
      <c r="F64" s="138">
        <f t="shared" si="9"/>
        <v>1500</v>
      </c>
      <c r="G64" s="138">
        <f t="shared" si="10"/>
        <v>18000</v>
      </c>
      <c r="H64" s="138"/>
      <c r="I64" s="138"/>
      <c r="J64" s="138">
        <f t="shared" si="11"/>
        <v>1349.9999999999998</v>
      </c>
      <c r="K64" s="138">
        <f t="shared" si="12"/>
        <v>16200</v>
      </c>
      <c r="L64" s="138"/>
      <c r="M64" s="138"/>
      <c r="N64" s="138"/>
      <c r="O64" s="138"/>
      <c r="P64" s="138"/>
      <c r="Q64" s="147">
        <v>58</v>
      </c>
      <c r="R64" s="48"/>
      <c r="S64" s="18">
        <v>58</v>
      </c>
      <c r="T64" s="9">
        <v>0.018</v>
      </c>
      <c r="U64" s="32">
        <f t="shared" si="5"/>
        <v>0.0014999999999999998</v>
      </c>
      <c r="V64" s="138">
        <f t="shared" si="6"/>
        <v>1349.9999999999998</v>
      </c>
      <c r="W64" s="138">
        <f t="shared" si="7"/>
        <v>16200</v>
      </c>
      <c r="X64" s="138"/>
      <c r="Y64" s="138"/>
      <c r="Z64" s="138"/>
      <c r="AA64" s="138"/>
      <c r="AB64" s="138"/>
      <c r="AC64" s="138"/>
      <c r="AD64" s="138"/>
      <c r="AE64" s="138"/>
      <c r="AF64" s="138"/>
    </row>
    <row r="65" spans="3:32" ht="13.5">
      <c r="C65" s="18">
        <v>59</v>
      </c>
      <c r="D65" s="26">
        <v>0.017</v>
      </c>
      <c r="E65" s="32">
        <f t="shared" si="8"/>
        <v>0.0014166666666666668</v>
      </c>
      <c r="F65" s="138">
        <f t="shared" si="9"/>
        <v>1416.6666666666667</v>
      </c>
      <c r="G65" s="138">
        <f t="shared" si="10"/>
        <v>17000</v>
      </c>
      <c r="H65" s="138"/>
      <c r="I65" s="138"/>
      <c r="J65" s="138">
        <f t="shared" si="11"/>
        <v>1275.0000000000002</v>
      </c>
      <c r="K65" s="138">
        <f t="shared" si="12"/>
        <v>15300</v>
      </c>
      <c r="L65" s="138"/>
      <c r="M65" s="138"/>
      <c r="N65" s="138"/>
      <c r="O65" s="138"/>
      <c r="P65" s="138"/>
      <c r="Q65" s="147">
        <v>59</v>
      </c>
      <c r="R65" s="48"/>
      <c r="S65" s="18">
        <v>59</v>
      </c>
      <c r="T65" s="9">
        <v>0.017</v>
      </c>
      <c r="U65" s="32">
        <f t="shared" si="5"/>
        <v>0.0014166666666666668</v>
      </c>
      <c r="V65" s="138">
        <f t="shared" si="6"/>
        <v>1275.0000000000002</v>
      </c>
      <c r="W65" s="138">
        <f t="shared" si="7"/>
        <v>15300</v>
      </c>
      <c r="X65" s="138"/>
      <c r="Y65" s="138"/>
      <c r="Z65" s="138"/>
      <c r="AA65" s="138"/>
      <c r="AB65" s="138"/>
      <c r="AC65" s="138"/>
      <c r="AD65" s="138"/>
      <c r="AE65" s="138"/>
      <c r="AF65" s="138"/>
    </row>
    <row r="66" spans="3:32" ht="13.5">
      <c r="C66" s="19">
        <v>60</v>
      </c>
      <c r="D66" s="27">
        <v>0.017</v>
      </c>
      <c r="E66" s="32">
        <f t="shared" si="8"/>
        <v>0.0014166666666666668</v>
      </c>
      <c r="F66" s="138">
        <f t="shared" si="9"/>
        <v>1416.6666666666667</v>
      </c>
      <c r="G66" s="138">
        <f t="shared" si="10"/>
        <v>17000</v>
      </c>
      <c r="H66" s="138"/>
      <c r="I66" s="138"/>
      <c r="J66" s="138">
        <f t="shared" si="11"/>
        <v>1275.0000000000002</v>
      </c>
      <c r="K66" s="138">
        <f t="shared" si="12"/>
        <v>15300</v>
      </c>
      <c r="L66" s="138"/>
      <c r="M66" s="138"/>
      <c r="N66" s="138"/>
      <c r="O66" s="138"/>
      <c r="P66" s="138"/>
      <c r="Q66" s="148">
        <v>60</v>
      </c>
      <c r="R66" s="48"/>
      <c r="S66" s="19">
        <v>60</v>
      </c>
      <c r="T66" s="10">
        <v>0.017</v>
      </c>
      <c r="U66" s="32">
        <f t="shared" si="5"/>
        <v>0.0014166666666666668</v>
      </c>
      <c r="V66" s="138">
        <f t="shared" si="6"/>
        <v>1275.0000000000002</v>
      </c>
      <c r="W66" s="138">
        <f t="shared" si="7"/>
        <v>15300</v>
      </c>
      <c r="X66" s="138"/>
      <c r="Y66" s="138"/>
      <c r="Z66" s="138"/>
      <c r="AA66" s="138"/>
      <c r="AB66" s="138"/>
      <c r="AC66" s="138"/>
      <c r="AD66" s="138"/>
      <c r="AE66" s="138"/>
      <c r="AF66" s="138"/>
    </row>
    <row r="67" spans="3:32" ht="13.5">
      <c r="C67" s="20">
        <v>61</v>
      </c>
      <c r="D67" s="28">
        <v>0.017</v>
      </c>
      <c r="E67" s="32">
        <f t="shared" si="8"/>
        <v>0.0014166666666666668</v>
      </c>
      <c r="F67" s="138">
        <f t="shared" si="9"/>
        <v>1416.6666666666667</v>
      </c>
      <c r="G67" s="138">
        <f t="shared" si="10"/>
        <v>17000</v>
      </c>
      <c r="H67" s="138"/>
      <c r="I67" s="138"/>
      <c r="J67" s="138">
        <f t="shared" si="11"/>
        <v>1275.0000000000002</v>
      </c>
      <c r="K67" s="138">
        <f t="shared" si="12"/>
        <v>15300</v>
      </c>
      <c r="L67" s="138"/>
      <c r="M67" s="138"/>
      <c r="N67" s="138"/>
      <c r="O67" s="138"/>
      <c r="P67" s="138"/>
      <c r="Q67" s="149">
        <v>61</v>
      </c>
      <c r="R67" s="48"/>
      <c r="S67" s="20">
        <v>61</v>
      </c>
      <c r="T67" s="12">
        <v>0.017</v>
      </c>
      <c r="U67" s="32">
        <f t="shared" si="5"/>
        <v>0.0014166666666666668</v>
      </c>
      <c r="V67" s="138">
        <f t="shared" si="6"/>
        <v>1275.0000000000002</v>
      </c>
      <c r="W67" s="138">
        <f t="shared" si="7"/>
        <v>15300</v>
      </c>
      <c r="X67" s="138"/>
      <c r="Y67" s="138"/>
      <c r="Z67" s="138"/>
      <c r="AA67" s="138"/>
      <c r="AB67" s="138"/>
      <c r="AC67" s="138"/>
      <c r="AD67" s="138"/>
      <c r="AE67" s="138"/>
      <c r="AF67" s="138"/>
    </row>
    <row r="68" spans="3:32" ht="13.5">
      <c r="C68" s="18">
        <v>62</v>
      </c>
      <c r="D68" s="26">
        <v>0.017</v>
      </c>
      <c r="E68" s="32">
        <f t="shared" si="8"/>
        <v>0.0014166666666666668</v>
      </c>
      <c r="F68" s="138">
        <f t="shared" si="9"/>
        <v>1416.6666666666667</v>
      </c>
      <c r="G68" s="138">
        <f t="shared" si="10"/>
        <v>17000</v>
      </c>
      <c r="H68" s="138"/>
      <c r="I68" s="138"/>
      <c r="J68" s="138">
        <f t="shared" si="11"/>
        <v>1275.0000000000002</v>
      </c>
      <c r="K68" s="138">
        <f t="shared" si="12"/>
        <v>15300</v>
      </c>
      <c r="L68" s="138"/>
      <c r="M68" s="138"/>
      <c r="N68" s="138"/>
      <c r="O68" s="138"/>
      <c r="P68" s="138"/>
      <c r="Q68" s="147">
        <v>62</v>
      </c>
      <c r="R68" s="48"/>
      <c r="S68" s="18">
        <v>62</v>
      </c>
      <c r="T68" s="9">
        <v>0.017</v>
      </c>
      <c r="U68" s="32">
        <f t="shared" si="5"/>
        <v>0.0014166666666666668</v>
      </c>
      <c r="V68" s="138">
        <f t="shared" si="6"/>
        <v>1275.0000000000002</v>
      </c>
      <c r="W68" s="138">
        <f t="shared" si="7"/>
        <v>15300</v>
      </c>
      <c r="X68" s="138"/>
      <c r="Y68" s="138"/>
      <c r="Z68" s="138"/>
      <c r="AA68" s="138"/>
      <c r="AB68" s="138"/>
      <c r="AC68" s="138"/>
      <c r="AD68" s="138"/>
      <c r="AE68" s="138"/>
      <c r="AF68" s="138"/>
    </row>
    <row r="69" spans="3:32" ht="13.5">
      <c r="C69" s="18">
        <v>63</v>
      </c>
      <c r="D69" s="26">
        <v>0.016</v>
      </c>
      <c r="E69" s="32">
        <f t="shared" si="8"/>
        <v>0.0013333333333333333</v>
      </c>
      <c r="F69" s="138">
        <f t="shared" si="9"/>
        <v>1333.3333333333333</v>
      </c>
      <c r="G69" s="138">
        <f t="shared" si="10"/>
        <v>16000</v>
      </c>
      <c r="H69" s="138"/>
      <c r="I69" s="138"/>
      <c r="J69" s="138">
        <f t="shared" si="11"/>
        <v>1200</v>
      </c>
      <c r="K69" s="138">
        <f t="shared" si="12"/>
        <v>14400</v>
      </c>
      <c r="L69" s="138"/>
      <c r="M69" s="138"/>
      <c r="N69" s="138"/>
      <c r="O69" s="138"/>
      <c r="P69" s="138"/>
      <c r="Q69" s="147">
        <v>63</v>
      </c>
      <c r="R69" s="48"/>
      <c r="S69" s="18">
        <v>63</v>
      </c>
      <c r="T69" s="9">
        <v>0.016</v>
      </c>
      <c r="U69" s="32">
        <f t="shared" si="5"/>
        <v>0.0013333333333333333</v>
      </c>
      <c r="V69" s="138">
        <f t="shared" si="6"/>
        <v>1200</v>
      </c>
      <c r="W69" s="138">
        <f t="shared" si="7"/>
        <v>14400</v>
      </c>
      <c r="X69" s="138"/>
      <c r="Y69" s="138"/>
      <c r="Z69" s="138"/>
      <c r="AA69" s="138"/>
      <c r="AB69" s="138"/>
      <c r="AC69" s="138"/>
      <c r="AD69" s="138"/>
      <c r="AE69" s="138"/>
      <c r="AF69" s="138"/>
    </row>
    <row r="70" spans="3:32" ht="13.5">
      <c r="C70" s="18">
        <v>64</v>
      </c>
      <c r="D70" s="26">
        <v>0.016</v>
      </c>
      <c r="E70" s="32">
        <f t="shared" si="8"/>
        <v>0.0013333333333333333</v>
      </c>
      <c r="F70" s="138">
        <f t="shared" si="9"/>
        <v>1333.3333333333333</v>
      </c>
      <c r="G70" s="138">
        <f t="shared" si="10"/>
        <v>16000</v>
      </c>
      <c r="H70" s="138"/>
      <c r="I70" s="138"/>
      <c r="J70" s="138">
        <f t="shared" si="11"/>
        <v>1200</v>
      </c>
      <c r="K70" s="138">
        <f t="shared" si="12"/>
        <v>14400</v>
      </c>
      <c r="L70" s="138"/>
      <c r="M70" s="138"/>
      <c r="N70" s="138"/>
      <c r="O70" s="138"/>
      <c r="P70" s="138"/>
      <c r="Q70" s="147">
        <v>64</v>
      </c>
      <c r="R70" s="48"/>
      <c r="S70" s="18">
        <v>64</v>
      </c>
      <c r="T70" s="9">
        <v>0.016</v>
      </c>
      <c r="U70" s="32">
        <f t="shared" si="5"/>
        <v>0.0013333333333333333</v>
      </c>
      <c r="V70" s="138">
        <f t="shared" si="6"/>
        <v>1200</v>
      </c>
      <c r="W70" s="138">
        <f t="shared" si="7"/>
        <v>14400</v>
      </c>
      <c r="X70" s="138"/>
      <c r="Y70" s="138"/>
      <c r="Z70" s="138"/>
      <c r="AA70" s="138"/>
      <c r="AB70" s="138"/>
      <c r="AC70" s="138"/>
      <c r="AD70" s="138"/>
      <c r="AE70" s="138"/>
      <c r="AF70" s="138"/>
    </row>
    <row r="71" spans="3:32" ht="13.5">
      <c r="C71" s="19">
        <v>65</v>
      </c>
      <c r="D71" s="27">
        <v>0.016</v>
      </c>
      <c r="E71" s="32">
        <f t="shared" si="8"/>
        <v>0.0013333333333333333</v>
      </c>
      <c r="F71" s="138">
        <f t="shared" si="9"/>
        <v>1333.3333333333333</v>
      </c>
      <c r="G71" s="138">
        <f t="shared" si="10"/>
        <v>16000</v>
      </c>
      <c r="H71" s="138"/>
      <c r="I71" s="138"/>
      <c r="J71" s="138">
        <f t="shared" si="11"/>
        <v>1200</v>
      </c>
      <c r="K71" s="138">
        <f t="shared" si="12"/>
        <v>14400</v>
      </c>
      <c r="L71" s="138"/>
      <c r="M71" s="138"/>
      <c r="N71" s="138"/>
      <c r="O71" s="138"/>
      <c r="P71" s="138"/>
      <c r="Q71" s="148">
        <v>65</v>
      </c>
      <c r="R71" s="48"/>
      <c r="S71" s="19">
        <v>65</v>
      </c>
      <c r="T71" s="10">
        <v>0.016</v>
      </c>
      <c r="U71" s="32">
        <f t="shared" si="5"/>
        <v>0.0013333333333333333</v>
      </c>
      <c r="V71" s="138">
        <f t="shared" si="6"/>
        <v>1200</v>
      </c>
      <c r="W71" s="138">
        <f t="shared" si="7"/>
        <v>14400</v>
      </c>
      <c r="X71" s="138"/>
      <c r="Y71" s="138"/>
      <c r="Z71" s="138"/>
      <c r="AA71" s="138"/>
      <c r="AB71" s="138"/>
      <c r="AC71" s="138"/>
      <c r="AD71" s="138"/>
      <c r="AE71" s="138"/>
      <c r="AF71" s="138"/>
    </row>
    <row r="72" spans="3:32" ht="13.5">
      <c r="C72" s="20">
        <v>66</v>
      </c>
      <c r="D72" s="28">
        <v>0.016</v>
      </c>
      <c r="E72" s="32">
        <f t="shared" si="8"/>
        <v>0.0013333333333333333</v>
      </c>
      <c r="F72" s="138">
        <f t="shared" si="9"/>
        <v>1333.3333333333333</v>
      </c>
      <c r="G72" s="138">
        <f t="shared" si="10"/>
        <v>16000</v>
      </c>
      <c r="H72" s="138"/>
      <c r="I72" s="138"/>
      <c r="J72" s="138">
        <f t="shared" si="11"/>
        <v>1200</v>
      </c>
      <c r="K72" s="138">
        <f t="shared" si="12"/>
        <v>14400</v>
      </c>
      <c r="L72" s="138"/>
      <c r="M72" s="138"/>
      <c r="N72" s="138"/>
      <c r="O72" s="138"/>
      <c r="P72" s="138"/>
      <c r="Q72" s="149">
        <v>66</v>
      </c>
      <c r="R72" s="48"/>
      <c r="S72" s="20">
        <v>66</v>
      </c>
      <c r="T72" s="12">
        <v>0.016</v>
      </c>
      <c r="U72" s="32">
        <f t="shared" si="5"/>
        <v>0.0013333333333333333</v>
      </c>
      <c r="V72" s="138">
        <f t="shared" si="6"/>
        <v>1200</v>
      </c>
      <c r="W72" s="138">
        <f t="shared" si="7"/>
        <v>14400</v>
      </c>
      <c r="X72" s="138"/>
      <c r="Y72" s="138"/>
      <c r="Z72" s="138"/>
      <c r="AA72" s="138"/>
      <c r="AB72" s="138"/>
      <c r="AC72" s="138"/>
      <c r="AD72" s="138"/>
      <c r="AE72" s="138"/>
      <c r="AF72" s="138"/>
    </row>
    <row r="73" spans="3:32" ht="13.5">
      <c r="C73" s="18">
        <v>67</v>
      </c>
      <c r="D73" s="26">
        <v>0.015</v>
      </c>
      <c r="E73" s="32">
        <f t="shared" si="8"/>
        <v>0.00125</v>
      </c>
      <c r="F73" s="138">
        <f t="shared" si="9"/>
        <v>1250</v>
      </c>
      <c r="G73" s="138">
        <f t="shared" si="10"/>
        <v>15000</v>
      </c>
      <c r="H73" s="138"/>
      <c r="I73" s="138"/>
      <c r="J73" s="138">
        <f t="shared" si="11"/>
        <v>1125</v>
      </c>
      <c r="K73" s="138">
        <f t="shared" si="12"/>
        <v>13500</v>
      </c>
      <c r="L73" s="138"/>
      <c r="M73" s="138"/>
      <c r="N73" s="138"/>
      <c r="O73" s="138"/>
      <c r="P73" s="138"/>
      <c r="Q73" s="147">
        <v>67</v>
      </c>
      <c r="R73" s="48"/>
      <c r="S73" s="18">
        <v>67</v>
      </c>
      <c r="T73" s="9">
        <v>0.015</v>
      </c>
      <c r="U73" s="32">
        <f aca="true" t="shared" si="13" ref="U73:U106">$D73*U$7/12</f>
        <v>0.00125</v>
      </c>
      <c r="V73" s="138">
        <f aca="true" t="shared" si="14" ref="V73:V106">900000*T73/12</f>
        <v>1125</v>
      </c>
      <c r="W73" s="138">
        <f aca="true" t="shared" si="15" ref="W73:W106">INT(900000*T73)</f>
        <v>13500</v>
      </c>
      <c r="X73" s="138"/>
      <c r="Y73" s="138"/>
      <c r="Z73" s="138"/>
      <c r="AA73" s="138"/>
      <c r="AB73" s="138"/>
      <c r="AC73" s="138"/>
      <c r="AD73" s="138"/>
      <c r="AE73" s="138"/>
      <c r="AF73" s="138"/>
    </row>
    <row r="74" spans="3:32" ht="13.5">
      <c r="C74" s="18">
        <v>68</v>
      </c>
      <c r="D74" s="26">
        <v>0.015</v>
      </c>
      <c r="E74" s="32">
        <f t="shared" si="8"/>
        <v>0.00125</v>
      </c>
      <c r="F74" s="138">
        <f t="shared" si="9"/>
        <v>1250</v>
      </c>
      <c r="G74" s="138">
        <f t="shared" si="10"/>
        <v>15000</v>
      </c>
      <c r="H74" s="138"/>
      <c r="I74" s="138"/>
      <c r="J74" s="138">
        <f t="shared" si="11"/>
        <v>1125</v>
      </c>
      <c r="K74" s="138">
        <f t="shared" si="12"/>
        <v>13500</v>
      </c>
      <c r="L74" s="138"/>
      <c r="M74" s="138"/>
      <c r="N74" s="138"/>
      <c r="O74" s="138"/>
      <c r="P74" s="138"/>
      <c r="Q74" s="147">
        <v>68</v>
      </c>
      <c r="R74" s="48"/>
      <c r="S74" s="18">
        <v>68</v>
      </c>
      <c r="T74" s="9">
        <v>0.015</v>
      </c>
      <c r="U74" s="32">
        <f t="shared" si="13"/>
        <v>0.00125</v>
      </c>
      <c r="V74" s="138">
        <f t="shared" si="14"/>
        <v>1125</v>
      </c>
      <c r="W74" s="138">
        <f t="shared" si="15"/>
        <v>13500</v>
      </c>
      <c r="X74" s="138"/>
      <c r="Y74" s="138"/>
      <c r="Z74" s="138"/>
      <c r="AA74" s="138"/>
      <c r="AB74" s="138"/>
      <c r="AC74" s="138"/>
      <c r="AD74" s="138"/>
      <c r="AE74" s="138"/>
      <c r="AF74" s="138"/>
    </row>
    <row r="75" spans="3:32" ht="13.5">
      <c r="C75" s="18">
        <v>69</v>
      </c>
      <c r="D75" s="26">
        <v>0.015</v>
      </c>
      <c r="E75" s="32">
        <f t="shared" si="8"/>
        <v>0.00125</v>
      </c>
      <c r="F75" s="138">
        <f t="shared" si="9"/>
        <v>1250</v>
      </c>
      <c r="G75" s="138">
        <f t="shared" si="10"/>
        <v>15000</v>
      </c>
      <c r="H75" s="138"/>
      <c r="I75" s="138"/>
      <c r="J75" s="138">
        <f t="shared" si="11"/>
        <v>1125</v>
      </c>
      <c r="K75" s="138">
        <f t="shared" si="12"/>
        <v>13500</v>
      </c>
      <c r="L75" s="138"/>
      <c r="M75" s="138"/>
      <c r="N75" s="138"/>
      <c r="O75" s="138"/>
      <c r="P75" s="138"/>
      <c r="Q75" s="147">
        <v>69</v>
      </c>
      <c r="R75" s="48"/>
      <c r="S75" s="18">
        <v>69</v>
      </c>
      <c r="T75" s="9">
        <v>0.015</v>
      </c>
      <c r="U75" s="32">
        <f t="shared" si="13"/>
        <v>0.00125</v>
      </c>
      <c r="V75" s="138">
        <f t="shared" si="14"/>
        <v>1125</v>
      </c>
      <c r="W75" s="138">
        <f t="shared" si="15"/>
        <v>13500</v>
      </c>
      <c r="X75" s="138"/>
      <c r="Y75" s="138"/>
      <c r="Z75" s="138"/>
      <c r="AA75" s="138"/>
      <c r="AB75" s="138"/>
      <c r="AC75" s="138"/>
      <c r="AD75" s="138"/>
      <c r="AE75" s="138"/>
      <c r="AF75" s="138"/>
    </row>
    <row r="76" spans="3:32" ht="13.5">
      <c r="C76" s="21">
        <v>70</v>
      </c>
      <c r="D76" s="29">
        <v>0.015</v>
      </c>
      <c r="E76" s="32">
        <f t="shared" si="8"/>
        <v>0.00125</v>
      </c>
      <c r="F76" s="138">
        <f t="shared" si="9"/>
        <v>1250</v>
      </c>
      <c r="G76" s="138">
        <f t="shared" si="10"/>
        <v>15000</v>
      </c>
      <c r="H76" s="138"/>
      <c r="I76" s="138"/>
      <c r="J76" s="138">
        <f t="shared" si="11"/>
        <v>1125</v>
      </c>
      <c r="K76" s="138">
        <f t="shared" si="12"/>
        <v>13500</v>
      </c>
      <c r="L76" s="138"/>
      <c r="M76" s="138"/>
      <c r="N76" s="138"/>
      <c r="O76" s="138"/>
      <c r="P76" s="138"/>
      <c r="Q76" s="150">
        <v>70</v>
      </c>
      <c r="R76" s="48"/>
      <c r="S76" s="21">
        <v>70</v>
      </c>
      <c r="T76" s="15">
        <v>0.015</v>
      </c>
      <c r="U76" s="32">
        <f t="shared" si="13"/>
        <v>0.00125</v>
      </c>
      <c r="V76" s="138">
        <f t="shared" si="14"/>
        <v>1125</v>
      </c>
      <c r="W76" s="138">
        <f t="shared" si="15"/>
        <v>13500</v>
      </c>
      <c r="X76" s="138"/>
      <c r="Y76" s="138"/>
      <c r="Z76" s="138"/>
      <c r="AA76" s="138"/>
      <c r="AB76" s="138"/>
      <c r="AC76" s="138"/>
      <c r="AD76" s="138"/>
      <c r="AE76" s="138"/>
      <c r="AF76" s="138"/>
    </row>
    <row r="77" spans="3:32" ht="13.5">
      <c r="C77" s="22">
        <v>71</v>
      </c>
      <c r="D77" s="30">
        <v>0.014</v>
      </c>
      <c r="E77" s="32">
        <f t="shared" si="8"/>
        <v>0.0011666666666666668</v>
      </c>
      <c r="F77" s="138">
        <f t="shared" si="9"/>
        <v>1166.6666666666667</v>
      </c>
      <c r="G77" s="138">
        <f t="shared" si="10"/>
        <v>14000</v>
      </c>
      <c r="H77" s="138"/>
      <c r="I77" s="138"/>
      <c r="J77" s="138">
        <f t="shared" si="11"/>
        <v>1050</v>
      </c>
      <c r="K77" s="138">
        <f t="shared" si="12"/>
        <v>12600</v>
      </c>
      <c r="L77" s="138"/>
      <c r="M77" s="138"/>
      <c r="N77" s="138"/>
      <c r="O77" s="138"/>
      <c r="P77" s="138"/>
      <c r="Q77" s="151">
        <v>71</v>
      </c>
      <c r="R77" s="48"/>
      <c r="S77" s="22">
        <v>71</v>
      </c>
      <c r="T77" s="17">
        <v>0.014</v>
      </c>
      <c r="U77" s="32">
        <f t="shared" si="13"/>
        <v>0.0011666666666666668</v>
      </c>
      <c r="V77" s="138">
        <f t="shared" si="14"/>
        <v>1050</v>
      </c>
      <c r="W77" s="138">
        <f t="shared" si="15"/>
        <v>12600</v>
      </c>
      <c r="X77" s="138"/>
      <c r="Y77" s="138"/>
      <c r="Z77" s="138"/>
      <c r="AA77" s="138"/>
      <c r="AB77" s="138"/>
      <c r="AC77" s="138"/>
      <c r="AD77" s="138"/>
      <c r="AE77" s="138"/>
      <c r="AF77" s="138"/>
    </row>
    <row r="78" spans="3:32" ht="13.5">
      <c r="C78" s="8">
        <v>72</v>
      </c>
      <c r="D78" s="26">
        <v>0.014</v>
      </c>
      <c r="E78" s="32">
        <f t="shared" si="8"/>
        <v>0.0011666666666666668</v>
      </c>
      <c r="F78" s="138">
        <f t="shared" si="9"/>
        <v>1166.6666666666667</v>
      </c>
      <c r="G78" s="138">
        <f t="shared" si="10"/>
        <v>14000</v>
      </c>
      <c r="H78" s="138"/>
      <c r="I78" s="138"/>
      <c r="J78" s="138">
        <f t="shared" si="11"/>
        <v>1050</v>
      </c>
      <c r="K78" s="138">
        <f t="shared" si="12"/>
        <v>12600</v>
      </c>
      <c r="L78" s="138"/>
      <c r="M78" s="138"/>
      <c r="N78" s="138"/>
      <c r="O78" s="138"/>
      <c r="P78" s="138"/>
      <c r="Q78" s="142">
        <v>72</v>
      </c>
      <c r="R78" s="48"/>
      <c r="S78" s="8">
        <v>72</v>
      </c>
      <c r="T78" s="9">
        <v>0.014</v>
      </c>
      <c r="U78" s="32">
        <f t="shared" si="13"/>
        <v>0.0011666666666666668</v>
      </c>
      <c r="V78" s="138">
        <f t="shared" si="14"/>
        <v>1050</v>
      </c>
      <c r="W78" s="138">
        <f t="shared" si="15"/>
        <v>12600</v>
      </c>
      <c r="X78" s="138"/>
      <c r="Y78" s="138"/>
      <c r="Z78" s="138"/>
      <c r="AA78" s="138"/>
      <c r="AB78" s="138"/>
      <c r="AC78" s="138"/>
      <c r="AD78" s="138"/>
      <c r="AE78" s="138"/>
      <c r="AF78" s="138"/>
    </row>
    <row r="79" spans="3:32" ht="13.5">
      <c r="C79" s="8">
        <v>73</v>
      </c>
      <c r="D79" s="26">
        <v>0.014</v>
      </c>
      <c r="E79" s="32">
        <f t="shared" si="8"/>
        <v>0.0011666666666666668</v>
      </c>
      <c r="F79" s="138">
        <f t="shared" si="9"/>
        <v>1166.6666666666667</v>
      </c>
      <c r="G79" s="138">
        <f t="shared" si="10"/>
        <v>14000</v>
      </c>
      <c r="H79" s="138"/>
      <c r="I79" s="138"/>
      <c r="J79" s="138">
        <f t="shared" si="11"/>
        <v>1050</v>
      </c>
      <c r="K79" s="138">
        <f t="shared" si="12"/>
        <v>12600</v>
      </c>
      <c r="L79" s="138"/>
      <c r="M79" s="138"/>
      <c r="N79" s="138"/>
      <c r="O79" s="138"/>
      <c r="P79" s="138"/>
      <c r="Q79" s="142">
        <v>73</v>
      </c>
      <c r="R79" s="48"/>
      <c r="S79" s="8">
        <v>73</v>
      </c>
      <c r="T79" s="9">
        <v>0.014</v>
      </c>
      <c r="U79" s="32">
        <f t="shared" si="13"/>
        <v>0.0011666666666666668</v>
      </c>
      <c r="V79" s="138">
        <f t="shared" si="14"/>
        <v>1050</v>
      </c>
      <c r="W79" s="138">
        <f t="shared" si="15"/>
        <v>12600</v>
      </c>
      <c r="X79" s="138"/>
      <c r="Y79" s="138"/>
      <c r="Z79" s="138"/>
      <c r="AA79" s="138"/>
      <c r="AB79" s="138"/>
      <c r="AC79" s="138"/>
      <c r="AD79" s="138"/>
      <c r="AE79" s="138"/>
      <c r="AF79" s="138"/>
    </row>
    <row r="80" spans="3:32" ht="13.5">
      <c r="C80" s="8">
        <v>74</v>
      </c>
      <c r="D80" s="26">
        <v>0.014</v>
      </c>
      <c r="E80" s="32">
        <f t="shared" si="8"/>
        <v>0.0011666666666666668</v>
      </c>
      <c r="F80" s="138">
        <f t="shared" si="9"/>
        <v>1166.6666666666667</v>
      </c>
      <c r="G80" s="138">
        <f t="shared" si="10"/>
        <v>14000</v>
      </c>
      <c r="H80" s="138"/>
      <c r="I80" s="138"/>
      <c r="J80" s="138">
        <f t="shared" si="11"/>
        <v>1050</v>
      </c>
      <c r="K80" s="138">
        <f t="shared" si="12"/>
        <v>12600</v>
      </c>
      <c r="L80" s="138"/>
      <c r="M80" s="138"/>
      <c r="N80" s="138"/>
      <c r="O80" s="138"/>
      <c r="P80" s="138"/>
      <c r="Q80" s="142">
        <v>74</v>
      </c>
      <c r="R80" s="48"/>
      <c r="S80" s="8">
        <v>74</v>
      </c>
      <c r="T80" s="9">
        <v>0.014</v>
      </c>
      <c r="U80" s="32">
        <f t="shared" si="13"/>
        <v>0.0011666666666666668</v>
      </c>
      <c r="V80" s="138">
        <f t="shared" si="14"/>
        <v>1050</v>
      </c>
      <c r="W80" s="138">
        <f t="shared" si="15"/>
        <v>12600</v>
      </c>
      <c r="X80" s="138"/>
      <c r="Y80" s="138"/>
      <c r="Z80" s="138"/>
      <c r="AA80" s="138"/>
      <c r="AB80" s="138"/>
      <c r="AC80" s="138"/>
      <c r="AD80" s="138"/>
      <c r="AE80" s="138"/>
      <c r="AF80" s="138"/>
    </row>
    <row r="81" spans="3:32" ht="13.5">
      <c r="C81" s="13">
        <v>75</v>
      </c>
      <c r="D81" s="27">
        <v>0.014</v>
      </c>
      <c r="E81" s="32">
        <f aca="true" t="shared" si="16" ref="E81:E106">$D81*E$7/12</f>
        <v>0.0011666666666666668</v>
      </c>
      <c r="F81" s="138">
        <f aca="true" t="shared" si="17" ref="F81:F106">1000000*D81/12</f>
        <v>1166.6666666666667</v>
      </c>
      <c r="G81" s="138">
        <f aca="true" t="shared" si="18" ref="G81:G106">INT(1000000*D81)</f>
        <v>14000</v>
      </c>
      <c r="H81" s="138"/>
      <c r="I81" s="138"/>
      <c r="J81" s="138">
        <f aca="true" t="shared" si="19" ref="J81:J106">900000*D81/12</f>
        <v>1050</v>
      </c>
      <c r="K81" s="138">
        <f aca="true" t="shared" si="20" ref="K81:K106">INT(900000*D81)</f>
        <v>12600</v>
      </c>
      <c r="L81" s="138"/>
      <c r="M81" s="138"/>
      <c r="N81" s="138"/>
      <c r="O81" s="138"/>
      <c r="P81" s="138"/>
      <c r="Q81" s="144">
        <v>75</v>
      </c>
      <c r="R81" s="48"/>
      <c r="S81" s="13">
        <v>75</v>
      </c>
      <c r="T81" s="10">
        <v>0.014</v>
      </c>
      <c r="U81" s="32">
        <f t="shared" si="13"/>
        <v>0.0011666666666666668</v>
      </c>
      <c r="V81" s="138">
        <f t="shared" si="14"/>
        <v>1050</v>
      </c>
      <c r="W81" s="138">
        <f t="shared" si="15"/>
        <v>12600</v>
      </c>
      <c r="X81" s="138"/>
      <c r="Y81" s="138"/>
      <c r="Z81" s="138"/>
      <c r="AA81" s="138"/>
      <c r="AB81" s="138"/>
      <c r="AC81" s="138"/>
      <c r="AD81" s="138"/>
      <c r="AE81" s="138"/>
      <c r="AF81" s="138"/>
    </row>
    <row r="82" spans="3:32" ht="13.5">
      <c r="C82" s="11">
        <v>76</v>
      </c>
      <c r="D82" s="28">
        <v>0.014</v>
      </c>
      <c r="E82" s="32">
        <f t="shared" si="16"/>
        <v>0.0011666666666666668</v>
      </c>
      <c r="F82" s="138">
        <f t="shared" si="17"/>
        <v>1166.6666666666667</v>
      </c>
      <c r="G82" s="138">
        <f t="shared" si="18"/>
        <v>14000</v>
      </c>
      <c r="H82" s="138"/>
      <c r="I82" s="138"/>
      <c r="J82" s="138">
        <f t="shared" si="19"/>
        <v>1050</v>
      </c>
      <c r="K82" s="138">
        <f t="shared" si="20"/>
        <v>12600</v>
      </c>
      <c r="L82" s="138"/>
      <c r="M82" s="138"/>
      <c r="N82" s="138"/>
      <c r="O82" s="138"/>
      <c r="P82" s="138"/>
      <c r="Q82" s="143">
        <v>76</v>
      </c>
      <c r="R82" s="48"/>
      <c r="S82" s="11">
        <v>76</v>
      </c>
      <c r="T82" s="12">
        <v>0.014</v>
      </c>
      <c r="U82" s="32">
        <f t="shared" si="13"/>
        <v>0.0011666666666666668</v>
      </c>
      <c r="V82" s="138">
        <f t="shared" si="14"/>
        <v>1050</v>
      </c>
      <c r="W82" s="138">
        <f t="shared" si="15"/>
        <v>12600</v>
      </c>
      <c r="X82" s="138"/>
      <c r="Y82" s="138"/>
      <c r="Z82" s="138"/>
      <c r="AA82" s="138"/>
      <c r="AB82" s="138"/>
      <c r="AC82" s="138"/>
      <c r="AD82" s="138"/>
      <c r="AE82" s="138"/>
      <c r="AF82" s="138"/>
    </row>
    <row r="83" spans="3:32" ht="13.5">
      <c r="C83" s="8">
        <v>77</v>
      </c>
      <c r="D83" s="26">
        <v>0.013</v>
      </c>
      <c r="E83" s="32">
        <f t="shared" si="16"/>
        <v>0.0010833333333333333</v>
      </c>
      <c r="F83" s="138">
        <f t="shared" si="17"/>
        <v>1083.3333333333333</v>
      </c>
      <c r="G83" s="138">
        <f t="shared" si="18"/>
        <v>13000</v>
      </c>
      <c r="H83" s="138"/>
      <c r="I83" s="138"/>
      <c r="J83" s="138">
        <f t="shared" si="19"/>
        <v>975</v>
      </c>
      <c r="K83" s="138">
        <f t="shared" si="20"/>
        <v>11700</v>
      </c>
      <c r="L83" s="138"/>
      <c r="M83" s="138"/>
      <c r="N83" s="138"/>
      <c r="O83" s="138"/>
      <c r="P83" s="138"/>
      <c r="Q83" s="142">
        <v>77</v>
      </c>
      <c r="R83" s="48"/>
      <c r="S83" s="8">
        <v>77</v>
      </c>
      <c r="T83" s="9">
        <v>0.013</v>
      </c>
      <c r="U83" s="32">
        <f t="shared" si="13"/>
        <v>0.0010833333333333333</v>
      </c>
      <c r="V83" s="138">
        <f t="shared" si="14"/>
        <v>975</v>
      </c>
      <c r="W83" s="138">
        <f t="shared" si="15"/>
        <v>11700</v>
      </c>
      <c r="X83" s="138"/>
      <c r="Y83" s="138"/>
      <c r="Z83" s="138"/>
      <c r="AA83" s="138"/>
      <c r="AB83" s="138"/>
      <c r="AC83" s="138"/>
      <c r="AD83" s="138"/>
      <c r="AE83" s="138"/>
      <c r="AF83" s="138"/>
    </row>
    <row r="84" spans="3:32" ht="13.5">
      <c r="C84" s="8">
        <v>78</v>
      </c>
      <c r="D84" s="26">
        <v>0.013</v>
      </c>
      <c r="E84" s="32">
        <f t="shared" si="16"/>
        <v>0.0010833333333333333</v>
      </c>
      <c r="F84" s="138">
        <f t="shared" si="17"/>
        <v>1083.3333333333333</v>
      </c>
      <c r="G84" s="138">
        <f t="shared" si="18"/>
        <v>13000</v>
      </c>
      <c r="H84" s="138"/>
      <c r="I84" s="138"/>
      <c r="J84" s="138">
        <f t="shared" si="19"/>
        <v>975</v>
      </c>
      <c r="K84" s="138">
        <f t="shared" si="20"/>
        <v>11700</v>
      </c>
      <c r="L84" s="138"/>
      <c r="M84" s="138"/>
      <c r="N84" s="138"/>
      <c r="O84" s="138"/>
      <c r="P84" s="138"/>
      <c r="Q84" s="142">
        <v>78</v>
      </c>
      <c r="R84" s="48"/>
      <c r="S84" s="8">
        <v>78</v>
      </c>
      <c r="T84" s="9">
        <v>0.013</v>
      </c>
      <c r="U84" s="32">
        <f t="shared" si="13"/>
        <v>0.0010833333333333333</v>
      </c>
      <c r="V84" s="138">
        <f t="shared" si="14"/>
        <v>975</v>
      </c>
      <c r="W84" s="138">
        <f t="shared" si="15"/>
        <v>11700</v>
      </c>
      <c r="X84" s="138"/>
      <c r="Y84" s="138"/>
      <c r="Z84" s="138"/>
      <c r="AA84" s="138"/>
      <c r="AB84" s="138"/>
      <c r="AC84" s="138"/>
      <c r="AD84" s="138"/>
      <c r="AE84" s="138"/>
      <c r="AF84" s="138"/>
    </row>
    <row r="85" spans="3:32" ht="13.5">
      <c r="C85" s="8">
        <v>79</v>
      </c>
      <c r="D85" s="26">
        <v>0.013</v>
      </c>
      <c r="E85" s="32">
        <f t="shared" si="16"/>
        <v>0.0010833333333333333</v>
      </c>
      <c r="F85" s="138">
        <f t="shared" si="17"/>
        <v>1083.3333333333333</v>
      </c>
      <c r="G85" s="138">
        <f t="shared" si="18"/>
        <v>13000</v>
      </c>
      <c r="H85" s="138"/>
      <c r="I85" s="138"/>
      <c r="J85" s="138">
        <f t="shared" si="19"/>
        <v>975</v>
      </c>
      <c r="K85" s="138">
        <f t="shared" si="20"/>
        <v>11700</v>
      </c>
      <c r="L85" s="138"/>
      <c r="M85" s="138"/>
      <c r="N85" s="138"/>
      <c r="O85" s="138"/>
      <c r="P85" s="138"/>
      <c r="Q85" s="142">
        <v>79</v>
      </c>
      <c r="R85" s="48"/>
      <c r="S85" s="8">
        <v>79</v>
      </c>
      <c r="T85" s="9">
        <v>0.013</v>
      </c>
      <c r="U85" s="32">
        <f t="shared" si="13"/>
        <v>0.0010833333333333333</v>
      </c>
      <c r="V85" s="138">
        <f t="shared" si="14"/>
        <v>975</v>
      </c>
      <c r="W85" s="138">
        <f t="shared" si="15"/>
        <v>11700</v>
      </c>
      <c r="X85" s="138"/>
      <c r="Y85" s="138"/>
      <c r="Z85" s="138"/>
      <c r="AA85" s="138"/>
      <c r="AB85" s="138"/>
      <c r="AC85" s="138"/>
      <c r="AD85" s="138"/>
      <c r="AE85" s="138"/>
      <c r="AF85" s="138"/>
    </row>
    <row r="86" spans="3:32" ht="13.5">
      <c r="C86" s="13">
        <v>80</v>
      </c>
      <c r="D86" s="27">
        <v>0.013</v>
      </c>
      <c r="E86" s="32">
        <f t="shared" si="16"/>
        <v>0.0010833333333333333</v>
      </c>
      <c r="F86" s="138">
        <f t="shared" si="17"/>
        <v>1083.3333333333333</v>
      </c>
      <c r="G86" s="138">
        <f t="shared" si="18"/>
        <v>13000</v>
      </c>
      <c r="H86" s="138"/>
      <c r="I86" s="138"/>
      <c r="J86" s="138">
        <f t="shared" si="19"/>
        <v>975</v>
      </c>
      <c r="K86" s="138">
        <f t="shared" si="20"/>
        <v>11700</v>
      </c>
      <c r="L86" s="138"/>
      <c r="M86" s="138"/>
      <c r="N86" s="138"/>
      <c r="O86" s="138"/>
      <c r="P86" s="138"/>
      <c r="Q86" s="144">
        <v>80</v>
      </c>
      <c r="R86" s="48"/>
      <c r="S86" s="13">
        <v>80</v>
      </c>
      <c r="T86" s="10">
        <v>0.013</v>
      </c>
      <c r="U86" s="32">
        <f t="shared" si="13"/>
        <v>0.0010833333333333333</v>
      </c>
      <c r="V86" s="138">
        <f t="shared" si="14"/>
        <v>975</v>
      </c>
      <c r="W86" s="138">
        <f t="shared" si="15"/>
        <v>11700</v>
      </c>
      <c r="X86" s="138"/>
      <c r="Y86" s="138"/>
      <c r="Z86" s="138"/>
      <c r="AA86" s="138"/>
      <c r="AB86" s="138"/>
      <c r="AC86" s="138"/>
      <c r="AD86" s="138"/>
      <c r="AE86" s="138"/>
      <c r="AF86" s="138"/>
    </row>
    <row r="87" spans="3:32" ht="13.5">
      <c r="C87" s="11">
        <v>81</v>
      </c>
      <c r="D87" s="28">
        <v>0.013</v>
      </c>
      <c r="E87" s="32">
        <f t="shared" si="16"/>
        <v>0.0010833333333333333</v>
      </c>
      <c r="F87" s="138">
        <f t="shared" si="17"/>
        <v>1083.3333333333333</v>
      </c>
      <c r="G87" s="138">
        <f t="shared" si="18"/>
        <v>13000</v>
      </c>
      <c r="H87" s="138"/>
      <c r="I87" s="138"/>
      <c r="J87" s="138">
        <f t="shared" si="19"/>
        <v>975</v>
      </c>
      <c r="K87" s="138">
        <f t="shared" si="20"/>
        <v>11700</v>
      </c>
      <c r="L87" s="138"/>
      <c r="M87" s="138"/>
      <c r="N87" s="138"/>
      <c r="O87" s="138"/>
      <c r="P87" s="138"/>
      <c r="Q87" s="143">
        <v>81</v>
      </c>
      <c r="R87" s="48"/>
      <c r="S87" s="11">
        <v>81</v>
      </c>
      <c r="T87" s="12">
        <v>0.013</v>
      </c>
      <c r="U87" s="32">
        <f t="shared" si="13"/>
        <v>0.0010833333333333333</v>
      </c>
      <c r="V87" s="138">
        <f t="shared" si="14"/>
        <v>975</v>
      </c>
      <c r="W87" s="138">
        <f t="shared" si="15"/>
        <v>11700</v>
      </c>
      <c r="X87" s="138"/>
      <c r="Y87" s="138"/>
      <c r="Z87" s="138"/>
      <c r="AA87" s="138"/>
      <c r="AB87" s="138"/>
      <c r="AC87" s="138"/>
      <c r="AD87" s="138"/>
      <c r="AE87" s="138"/>
      <c r="AF87" s="138"/>
    </row>
    <row r="88" spans="3:32" ht="13.5">
      <c r="C88" s="8">
        <v>82</v>
      </c>
      <c r="D88" s="26">
        <v>0.013</v>
      </c>
      <c r="E88" s="32">
        <f t="shared" si="16"/>
        <v>0.0010833333333333333</v>
      </c>
      <c r="F88" s="138">
        <f t="shared" si="17"/>
        <v>1083.3333333333333</v>
      </c>
      <c r="G88" s="138">
        <f t="shared" si="18"/>
        <v>13000</v>
      </c>
      <c r="H88" s="138"/>
      <c r="I88" s="138"/>
      <c r="J88" s="138">
        <f t="shared" si="19"/>
        <v>975</v>
      </c>
      <c r="K88" s="138">
        <f t="shared" si="20"/>
        <v>11700</v>
      </c>
      <c r="L88" s="138"/>
      <c r="M88" s="138"/>
      <c r="N88" s="138"/>
      <c r="O88" s="138"/>
      <c r="P88" s="138"/>
      <c r="Q88" s="142">
        <v>82</v>
      </c>
      <c r="R88" s="48"/>
      <c r="S88" s="8">
        <v>82</v>
      </c>
      <c r="T88" s="9">
        <v>0.013</v>
      </c>
      <c r="U88" s="32">
        <f t="shared" si="13"/>
        <v>0.0010833333333333333</v>
      </c>
      <c r="V88" s="138">
        <f t="shared" si="14"/>
        <v>975</v>
      </c>
      <c r="W88" s="138">
        <f t="shared" si="15"/>
        <v>11700</v>
      </c>
      <c r="X88" s="138"/>
      <c r="Y88" s="138"/>
      <c r="Z88" s="138"/>
      <c r="AA88" s="138"/>
      <c r="AB88" s="138"/>
      <c r="AC88" s="138"/>
      <c r="AD88" s="138"/>
      <c r="AE88" s="138"/>
      <c r="AF88" s="138"/>
    </row>
    <row r="89" spans="3:32" ht="13.5">
      <c r="C89" s="8">
        <v>83</v>
      </c>
      <c r="D89" s="26">
        <v>0.012</v>
      </c>
      <c r="E89" s="32">
        <f t="shared" si="16"/>
        <v>0.001</v>
      </c>
      <c r="F89" s="138">
        <f t="shared" si="17"/>
        <v>1000</v>
      </c>
      <c r="G89" s="138">
        <f t="shared" si="18"/>
        <v>12000</v>
      </c>
      <c r="H89" s="138"/>
      <c r="I89" s="138"/>
      <c r="J89" s="138">
        <f t="shared" si="19"/>
        <v>900</v>
      </c>
      <c r="K89" s="138">
        <f t="shared" si="20"/>
        <v>10800</v>
      </c>
      <c r="L89" s="138"/>
      <c r="M89" s="138"/>
      <c r="N89" s="138"/>
      <c r="O89" s="138"/>
      <c r="P89" s="138"/>
      <c r="Q89" s="142">
        <v>83</v>
      </c>
      <c r="R89" s="48"/>
      <c r="S89" s="8">
        <v>83</v>
      </c>
      <c r="T89" s="9">
        <v>0.012</v>
      </c>
      <c r="U89" s="32">
        <f t="shared" si="13"/>
        <v>0.001</v>
      </c>
      <c r="V89" s="138">
        <f t="shared" si="14"/>
        <v>900</v>
      </c>
      <c r="W89" s="138">
        <f t="shared" si="15"/>
        <v>10800</v>
      </c>
      <c r="X89" s="138"/>
      <c r="Y89" s="138"/>
      <c r="Z89" s="138"/>
      <c r="AA89" s="138"/>
      <c r="AB89" s="138"/>
      <c r="AC89" s="138"/>
      <c r="AD89" s="138"/>
      <c r="AE89" s="138"/>
      <c r="AF89" s="138"/>
    </row>
    <row r="90" spans="3:32" ht="13.5">
      <c r="C90" s="8">
        <v>84</v>
      </c>
      <c r="D90" s="26">
        <v>0.012</v>
      </c>
      <c r="E90" s="32">
        <f t="shared" si="16"/>
        <v>0.001</v>
      </c>
      <c r="F90" s="138">
        <f t="shared" si="17"/>
        <v>1000</v>
      </c>
      <c r="G90" s="138">
        <f t="shared" si="18"/>
        <v>12000</v>
      </c>
      <c r="H90" s="138"/>
      <c r="I90" s="138"/>
      <c r="J90" s="138">
        <f t="shared" si="19"/>
        <v>900</v>
      </c>
      <c r="K90" s="138">
        <f t="shared" si="20"/>
        <v>10800</v>
      </c>
      <c r="L90" s="138"/>
      <c r="M90" s="138"/>
      <c r="N90" s="138"/>
      <c r="O90" s="138"/>
      <c r="P90" s="138"/>
      <c r="Q90" s="142">
        <v>84</v>
      </c>
      <c r="R90" s="48"/>
      <c r="S90" s="8">
        <v>84</v>
      </c>
      <c r="T90" s="9">
        <v>0.012</v>
      </c>
      <c r="U90" s="32">
        <f t="shared" si="13"/>
        <v>0.001</v>
      </c>
      <c r="V90" s="138">
        <f t="shared" si="14"/>
        <v>900</v>
      </c>
      <c r="W90" s="138">
        <f t="shared" si="15"/>
        <v>10800</v>
      </c>
      <c r="X90" s="138"/>
      <c r="Y90" s="138"/>
      <c r="Z90" s="138"/>
      <c r="AA90" s="138"/>
      <c r="AB90" s="138"/>
      <c r="AC90" s="138"/>
      <c r="AD90" s="138"/>
      <c r="AE90" s="138"/>
      <c r="AF90" s="138"/>
    </row>
    <row r="91" spans="3:32" ht="13.5">
      <c r="C91" s="13">
        <v>85</v>
      </c>
      <c r="D91" s="27">
        <v>0.012</v>
      </c>
      <c r="E91" s="32">
        <f t="shared" si="16"/>
        <v>0.001</v>
      </c>
      <c r="F91" s="138">
        <f t="shared" si="17"/>
        <v>1000</v>
      </c>
      <c r="G91" s="138">
        <f t="shared" si="18"/>
        <v>12000</v>
      </c>
      <c r="H91" s="138"/>
      <c r="I91" s="138"/>
      <c r="J91" s="138">
        <f t="shared" si="19"/>
        <v>900</v>
      </c>
      <c r="K91" s="138">
        <f t="shared" si="20"/>
        <v>10800</v>
      </c>
      <c r="L91" s="138"/>
      <c r="M91" s="138"/>
      <c r="N91" s="138"/>
      <c r="O91" s="138"/>
      <c r="P91" s="138"/>
      <c r="Q91" s="144">
        <v>85</v>
      </c>
      <c r="R91" s="48"/>
      <c r="S91" s="13">
        <v>85</v>
      </c>
      <c r="T91" s="10">
        <v>0.012</v>
      </c>
      <c r="U91" s="32">
        <f t="shared" si="13"/>
        <v>0.001</v>
      </c>
      <c r="V91" s="138">
        <f t="shared" si="14"/>
        <v>900</v>
      </c>
      <c r="W91" s="138">
        <f t="shared" si="15"/>
        <v>10800</v>
      </c>
      <c r="X91" s="138"/>
      <c r="Y91" s="138"/>
      <c r="Z91" s="138"/>
      <c r="AA91" s="138"/>
      <c r="AB91" s="138"/>
      <c r="AC91" s="138"/>
      <c r="AD91" s="138"/>
      <c r="AE91" s="138"/>
      <c r="AF91" s="138"/>
    </row>
    <row r="92" spans="3:32" ht="13.5">
      <c r="C92" s="11">
        <v>86</v>
      </c>
      <c r="D92" s="28">
        <v>0.012</v>
      </c>
      <c r="E92" s="32">
        <f t="shared" si="16"/>
        <v>0.001</v>
      </c>
      <c r="F92" s="138">
        <f t="shared" si="17"/>
        <v>1000</v>
      </c>
      <c r="G92" s="138">
        <f t="shared" si="18"/>
        <v>12000</v>
      </c>
      <c r="H92" s="138"/>
      <c r="I92" s="138"/>
      <c r="J92" s="138">
        <f t="shared" si="19"/>
        <v>900</v>
      </c>
      <c r="K92" s="138">
        <f t="shared" si="20"/>
        <v>10800</v>
      </c>
      <c r="L92" s="138"/>
      <c r="M92" s="138"/>
      <c r="N92" s="138"/>
      <c r="O92" s="138"/>
      <c r="P92" s="138"/>
      <c r="Q92" s="143">
        <v>86</v>
      </c>
      <c r="R92" s="48"/>
      <c r="S92" s="11">
        <v>86</v>
      </c>
      <c r="T92" s="12">
        <v>0.012</v>
      </c>
      <c r="U92" s="32">
        <f t="shared" si="13"/>
        <v>0.001</v>
      </c>
      <c r="V92" s="138">
        <f t="shared" si="14"/>
        <v>900</v>
      </c>
      <c r="W92" s="138">
        <f t="shared" si="15"/>
        <v>10800</v>
      </c>
      <c r="X92" s="138"/>
      <c r="Y92" s="138"/>
      <c r="Z92" s="138"/>
      <c r="AA92" s="138"/>
      <c r="AB92" s="138"/>
      <c r="AC92" s="138"/>
      <c r="AD92" s="138"/>
      <c r="AE92" s="138"/>
      <c r="AF92" s="138"/>
    </row>
    <row r="93" spans="3:32" ht="13.5">
      <c r="C93" s="8">
        <v>87</v>
      </c>
      <c r="D93" s="26">
        <v>0.012</v>
      </c>
      <c r="E93" s="32">
        <f t="shared" si="16"/>
        <v>0.001</v>
      </c>
      <c r="F93" s="138">
        <f t="shared" si="17"/>
        <v>1000</v>
      </c>
      <c r="G93" s="138">
        <f t="shared" si="18"/>
        <v>12000</v>
      </c>
      <c r="H93" s="138"/>
      <c r="I93" s="138"/>
      <c r="J93" s="138">
        <f t="shared" si="19"/>
        <v>900</v>
      </c>
      <c r="K93" s="138">
        <f t="shared" si="20"/>
        <v>10800</v>
      </c>
      <c r="L93" s="138"/>
      <c r="M93" s="138"/>
      <c r="N93" s="138"/>
      <c r="O93" s="138"/>
      <c r="P93" s="138"/>
      <c r="Q93" s="142">
        <v>87</v>
      </c>
      <c r="R93" s="48"/>
      <c r="S93" s="8">
        <v>87</v>
      </c>
      <c r="T93" s="9">
        <v>0.012</v>
      </c>
      <c r="U93" s="32">
        <f t="shared" si="13"/>
        <v>0.001</v>
      </c>
      <c r="V93" s="138">
        <f t="shared" si="14"/>
        <v>900</v>
      </c>
      <c r="W93" s="138">
        <f t="shared" si="15"/>
        <v>10800</v>
      </c>
      <c r="X93" s="138"/>
      <c r="Y93" s="138"/>
      <c r="Z93" s="138"/>
      <c r="AA93" s="138"/>
      <c r="AB93" s="138"/>
      <c r="AC93" s="138"/>
      <c r="AD93" s="138"/>
      <c r="AE93" s="138"/>
      <c r="AF93" s="138"/>
    </row>
    <row r="94" spans="3:32" ht="13.5">
      <c r="C94" s="8">
        <v>88</v>
      </c>
      <c r="D94" s="26">
        <v>0.012</v>
      </c>
      <c r="E94" s="32">
        <f t="shared" si="16"/>
        <v>0.001</v>
      </c>
      <c r="F94" s="138">
        <f t="shared" si="17"/>
        <v>1000</v>
      </c>
      <c r="G94" s="138">
        <f t="shared" si="18"/>
        <v>12000</v>
      </c>
      <c r="H94" s="138"/>
      <c r="I94" s="138"/>
      <c r="J94" s="138">
        <f t="shared" si="19"/>
        <v>900</v>
      </c>
      <c r="K94" s="138">
        <f t="shared" si="20"/>
        <v>10800</v>
      </c>
      <c r="L94" s="138"/>
      <c r="M94" s="138"/>
      <c r="N94" s="138"/>
      <c r="O94" s="138"/>
      <c r="P94" s="138"/>
      <c r="Q94" s="142">
        <v>88</v>
      </c>
      <c r="R94" s="48"/>
      <c r="S94" s="8">
        <v>88</v>
      </c>
      <c r="T94" s="9">
        <v>0.012</v>
      </c>
      <c r="U94" s="32">
        <f t="shared" si="13"/>
        <v>0.001</v>
      </c>
      <c r="V94" s="138">
        <f t="shared" si="14"/>
        <v>900</v>
      </c>
      <c r="W94" s="138">
        <f t="shared" si="15"/>
        <v>10800</v>
      </c>
      <c r="X94" s="138"/>
      <c r="Y94" s="138"/>
      <c r="Z94" s="138"/>
      <c r="AA94" s="138"/>
      <c r="AB94" s="138"/>
      <c r="AC94" s="138"/>
      <c r="AD94" s="138"/>
      <c r="AE94" s="138"/>
      <c r="AF94" s="138"/>
    </row>
    <row r="95" spans="3:32" ht="13.5">
      <c r="C95" s="8">
        <v>89</v>
      </c>
      <c r="D95" s="26">
        <v>0.012</v>
      </c>
      <c r="E95" s="32">
        <f t="shared" si="16"/>
        <v>0.001</v>
      </c>
      <c r="F95" s="138">
        <f t="shared" si="17"/>
        <v>1000</v>
      </c>
      <c r="G95" s="138">
        <f t="shared" si="18"/>
        <v>12000</v>
      </c>
      <c r="H95" s="138"/>
      <c r="I95" s="138"/>
      <c r="J95" s="138">
        <f t="shared" si="19"/>
        <v>900</v>
      </c>
      <c r="K95" s="138">
        <f t="shared" si="20"/>
        <v>10800</v>
      </c>
      <c r="L95" s="138"/>
      <c r="M95" s="138"/>
      <c r="N95" s="138"/>
      <c r="O95" s="138"/>
      <c r="P95" s="138"/>
      <c r="Q95" s="142">
        <v>89</v>
      </c>
      <c r="R95" s="48"/>
      <c r="S95" s="8">
        <v>89</v>
      </c>
      <c r="T95" s="9">
        <v>0.012</v>
      </c>
      <c r="U95" s="32">
        <f t="shared" si="13"/>
        <v>0.001</v>
      </c>
      <c r="V95" s="138">
        <f t="shared" si="14"/>
        <v>900</v>
      </c>
      <c r="W95" s="138">
        <f t="shared" si="15"/>
        <v>10800</v>
      </c>
      <c r="X95" s="138"/>
      <c r="Y95" s="138"/>
      <c r="Z95" s="138"/>
      <c r="AA95" s="138"/>
      <c r="AB95" s="138"/>
      <c r="AC95" s="138"/>
      <c r="AD95" s="138"/>
      <c r="AE95" s="138"/>
      <c r="AF95" s="138"/>
    </row>
    <row r="96" spans="3:32" ht="13.5">
      <c r="C96" s="13">
        <v>90</v>
      </c>
      <c r="D96" s="27">
        <v>0.012</v>
      </c>
      <c r="E96" s="32">
        <f t="shared" si="16"/>
        <v>0.001</v>
      </c>
      <c r="F96" s="138">
        <f t="shared" si="17"/>
        <v>1000</v>
      </c>
      <c r="G96" s="138">
        <f t="shared" si="18"/>
        <v>12000</v>
      </c>
      <c r="H96" s="138"/>
      <c r="I96" s="138"/>
      <c r="J96" s="138">
        <f t="shared" si="19"/>
        <v>900</v>
      </c>
      <c r="K96" s="138">
        <f t="shared" si="20"/>
        <v>10800</v>
      </c>
      <c r="L96" s="138"/>
      <c r="M96" s="138"/>
      <c r="N96" s="138"/>
      <c r="O96" s="138"/>
      <c r="P96" s="138"/>
      <c r="Q96" s="144">
        <v>90</v>
      </c>
      <c r="R96" s="48"/>
      <c r="S96" s="13">
        <v>90</v>
      </c>
      <c r="T96" s="10">
        <v>0.012</v>
      </c>
      <c r="U96" s="32">
        <f t="shared" si="13"/>
        <v>0.001</v>
      </c>
      <c r="V96" s="138">
        <f t="shared" si="14"/>
        <v>900</v>
      </c>
      <c r="W96" s="138">
        <f t="shared" si="15"/>
        <v>10800</v>
      </c>
      <c r="X96" s="138"/>
      <c r="Y96" s="138"/>
      <c r="Z96" s="138"/>
      <c r="AA96" s="138"/>
      <c r="AB96" s="138"/>
      <c r="AC96" s="138"/>
      <c r="AD96" s="138"/>
      <c r="AE96" s="138"/>
      <c r="AF96" s="138"/>
    </row>
    <row r="97" spans="3:32" ht="13.5">
      <c r="C97" s="11">
        <v>91</v>
      </c>
      <c r="D97" s="28">
        <v>0.011</v>
      </c>
      <c r="E97" s="32">
        <f t="shared" si="16"/>
        <v>0.0009166666666666666</v>
      </c>
      <c r="F97" s="138">
        <f t="shared" si="17"/>
        <v>916.6666666666666</v>
      </c>
      <c r="G97" s="138">
        <f t="shared" si="18"/>
        <v>11000</v>
      </c>
      <c r="H97" s="138"/>
      <c r="I97" s="138"/>
      <c r="J97" s="138">
        <f t="shared" si="19"/>
        <v>825</v>
      </c>
      <c r="K97" s="138">
        <f t="shared" si="20"/>
        <v>9900</v>
      </c>
      <c r="L97" s="138"/>
      <c r="M97" s="138"/>
      <c r="N97" s="138"/>
      <c r="O97" s="138"/>
      <c r="P97" s="138"/>
      <c r="Q97" s="143">
        <v>91</v>
      </c>
      <c r="R97" s="48"/>
      <c r="S97" s="11">
        <v>91</v>
      </c>
      <c r="T97" s="12">
        <v>0.011</v>
      </c>
      <c r="U97" s="32">
        <f t="shared" si="13"/>
        <v>0.0009166666666666666</v>
      </c>
      <c r="V97" s="138">
        <f t="shared" si="14"/>
        <v>825</v>
      </c>
      <c r="W97" s="138">
        <f t="shared" si="15"/>
        <v>9900</v>
      </c>
      <c r="X97" s="138"/>
      <c r="Y97" s="138"/>
      <c r="Z97" s="138"/>
      <c r="AA97" s="138"/>
      <c r="AB97" s="138"/>
      <c r="AC97" s="138"/>
      <c r="AD97" s="138"/>
      <c r="AE97" s="138"/>
      <c r="AF97" s="138"/>
    </row>
    <row r="98" spans="3:32" ht="13.5">
      <c r="C98" s="8">
        <v>92</v>
      </c>
      <c r="D98" s="26">
        <v>0.011</v>
      </c>
      <c r="E98" s="32">
        <f t="shared" si="16"/>
        <v>0.0009166666666666666</v>
      </c>
      <c r="F98" s="138">
        <f t="shared" si="17"/>
        <v>916.6666666666666</v>
      </c>
      <c r="G98" s="138">
        <f t="shared" si="18"/>
        <v>11000</v>
      </c>
      <c r="H98" s="138"/>
      <c r="I98" s="138"/>
      <c r="J98" s="138">
        <f t="shared" si="19"/>
        <v>825</v>
      </c>
      <c r="K98" s="138">
        <f t="shared" si="20"/>
        <v>9900</v>
      </c>
      <c r="L98" s="138"/>
      <c r="M98" s="138"/>
      <c r="N98" s="138"/>
      <c r="O98" s="138"/>
      <c r="P98" s="138"/>
      <c r="Q98" s="142">
        <v>92</v>
      </c>
      <c r="R98" s="48"/>
      <c r="S98" s="8">
        <v>92</v>
      </c>
      <c r="T98" s="9">
        <v>0.011</v>
      </c>
      <c r="U98" s="32">
        <f t="shared" si="13"/>
        <v>0.0009166666666666666</v>
      </c>
      <c r="V98" s="138">
        <f t="shared" si="14"/>
        <v>825</v>
      </c>
      <c r="W98" s="138">
        <f t="shared" si="15"/>
        <v>9900</v>
      </c>
      <c r="X98" s="138"/>
      <c r="Y98" s="138"/>
      <c r="Z98" s="138"/>
      <c r="AA98" s="138"/>
      <c r="AB98" s="138"/>
      <c r="AC98" s="138"/>
      <c r="AD98" s="138"/>
      <c r="AE98" s="138"/>
      <c r="AF98" s="138"/>
    </row>
    <row r="99" spans="3:32" ht="13.5">
      <c r="C99" s="8">
        <v>93</v>
      </c>
      <c r="D99" s="26">
        <v>0.011</v>
      </c>
      <c r="E99" s="32">
        <f t="shared" si="16"/>
        <v>0.0009166666666666666</v>
      </c>
      <c r="F99" s="138">
        <f t="shared" si="17"/>
        <v>916.6666666666666</v>
      </c>
      <c r="G99" s="138">
        <f t="shared" si="18"/>
        <v>11000</v>
      </c>
      <c r="H99" s="138"/>
      <c r="I99" s="138"/>
      <c r="J99" s="138">
        <f t="shared" si="19"/>
        <v>825</v>
      </c>
      <c r="K99" s="138">
        <f t="shared" si="20"/>
        <v>9900</v>
      </c>
      <c r="L99" s="138"/>
      <c r="M99" s="138"/>
      <c r="N99" s="138"/>
      <c r="O99" s="138"/>
      <c r="P99" s="138"/>
      <c r="Q99" s="142">
        <v>93</v>
      </c>
      <c r="R99" s="48"/>
      <c r="S99" s="8">
        <v>93</v>
      </c>
      <c r="T99" s="9">
        <v>0.011</v>
      </c>
      <c r="U99" s="32">
        <f t="shared" si="13"/>
        <v>0.0009166666666666666</v>
      </c>
      <c r="V99" s="138">
        <f t="shared" si="14"/>
        <v>825</v>
      </c>
      <c r="W99" s="138">
        <f t="shared" si="15"/>
        <v>9900</v>
      </c>
      <c r="X99" s="138"/>
      <c r="Y99" s="138"/>
      <c r="Z99" s="138"/>
      <c r="AA99" s="138"/>
      <c r="AB99" s="138"/>
      <c r="AC99" s="138"/>
      <c r="AD99" s="138"/>
      <c r="AE99" s="138"/>
      <c r="AF99" s="138"/>
    </row>
    <row r="100" spans="3:32" ht="13.5">
      <c r="C100" s="8">
        <v>94</v>
      </c>
      <c r="D100" s="26">
        <v>0.011</v>
      </c>
      <c r="E100" s="32">
        <f t="shared" si="16"/>
        <v>0.0009166666666666666</v>
      </c>
      <c r="F100" s="138">
        <f t="shared" si="17"/>
        <v>916.6666666666666</v>
      </c>
      <c r="G100" s="138">
        <f t="shared" si="18"/>
        <v>11000</v>
      </c>
      <c r="H100" s="138"/>
      <c r="I100" s="138"/>
      <c r="J100" s="138">
        <f t="shared" si="19"/>
        <v>825</v>
      </c>
      <c r="K100" s="138">
        <f t="shared" si="20"/>
        <v>9900</v>
      </c>
      <c r="L100" s="138"/>
      <c r="M100" s="138"/>
      <c r="N100" s="138"/>
      <c r="O100" s="138"/>
      <c r="P100" s="138"/>
      <c r="Q100" s="142">
        <v>94</v>
      </c>
      <c r="R100" s="48"/>
      <c r="S100" s="8">
        <v>94</v>
      </c>
      <c r="T100" s="9">
        <v>0.011</v>
      </c>
      <c r="U100" s="32">
        <f t="shared" si="13"/>
        <v>0.0009166666666666666</v>
      </c>
      <c r="V100" s="138">
        <f t="shared" si="14"/>
        <v>825</v>
      </c>
      <c r="W100" s="138">
        <f t="shared" si="15"/>
        <v>9900</v>
      </c>
      <c r="X100" s="138"/>
      <c r="Y100" s="138"/>
      <c r="Z100" s="138"/>
      <c r="AA100" s="138"/>
      <c r="AB100" s="138"/>
      <c r="AC100" s="138"/>
      <c r="AD100" s="138"/>
      <c r="AE100" s="138"/>
      <c r="AF100" s="138"/>
    </row>
    <row r="101" spans="3:32" ht="13.5">
      <c r="C101" s="13">
        <v>95</v>
      </c>
      <c r="D101" s="27">
        <v>0.011</v>
      </c>
      <c r="E101" s="32">
        <f t="shared" si="16"/>
        <v>0.0009166666666666666</v>
      </c>
      <c r="F101" s="138">
        <f t="shared" si="17"/>
        <v>916.6666666666666</v>
      </c>
      <c r="G101" s="138">
        <f t="shared" si="18"/>
        <v>11000</v>
      </c>
      <c r="H101" s="138"/>
      <c r="I101" s="138"/>
      <c r="J101" s="138">
        <f t="shared" si="19"/>
        <v>825</v>
      </c>
      <c r="K101" s="138">
        <f t="shared" si="20"/>
        <v>9900</v>
      </c>
      <c r="L101" s="138"/>
      <c r="M101" s="138"/>
      <c r="N101" s="138"/>
      <c r="O101" s="138"/>
      <c r="P101" s="138"/>
      <c r="Q101" s="144">
        <v>95</v>
      </c>
      <c r="R101" s="48"/>
      <c r="S101" s="13">
        <v>95</v>
      </c>
      <c r="T101" s="10">
        <v>0.011</v>
      </c>
      <c r="U101" s="32">
        <f t="shared" si="13"/>
        <v>0.0009166666666666666</v>
      </c>
      <c r="V101" s="138">
        <f t="shared" si="14"/>
        <v>825</v>
      </c>
      <c r="W101" s="138">
        <f t="shared" si="15"/>
        <v>9900</v>
      </c>
      <c r="X101" s="138"/>
      <c r="Y101" s="138"/>
      <c r="Z101" s="138"/>
      <c r="AA101" s="138"/>
      <c r="AB101" s="138"/>
      <c r="AC101" s="138"/>
      <c r="AD101" s="138"/>
      <c r="AE101" s="138"/>
      <c r="AF101" s="138"/>
    </row>
    <row r="102" spans="3:32" ht="13.5">
      <c r="C102" s="11">
        <v>96</v>
      </c>
      <c r="D102" s="28">
        <v>0.011</v>
      </c>
      <c r="E102" s="32">
        <f t="shared" si="16"/>
        <v>0.0009166666666666666</v>
      </c>
      <c r="F102" s="138">
        <f t="shared" si="17"/>
        <v>916.6666666666666</v>
      </c>
      <c r="G102" s="138">
        <f t="shared" si="18"/>
        <v>11000</v>
      </c>
      <c r="H102" s="138"/>
      <c r="I102" s="138"/>
      <c r="J102" s="138">
        <f t="shared" si="19"/>
        <v>825</v>
      </c>
      <c r="K102" s="138">
        <f t="shared" si="20"/>
        <v>9900</v>
      </c>
      <c r="L102" s="138"/>
      <c r="M102" s="138"/>
      <c r="N102" s="138"/>
      <c r="O102" s="138"/>
      <c r="P102" s="138"/>
      <c r="Q102" s="143">
        <v>96</v>
      </c>
      <c r="R102" s="48"/>
      <c r="S102" s="11">
        <v>96</v>
      </c>
      <c r="T102" s="12">
        <v>0.011</v>
      </c>
      <c r="U102" s="32">
        <f t="shared" si="13"/>
        <v>0.0009166666666666666</v>
      </c>
      <c r="V102" s="138">
        <f t="shared" si="14"/>
        <v>825</v>
      </c>
      <c r="W102" s="138">
        <f t="shared" si="15"/>
        <v>9900</v>
      </c>
      <c r="X102" s="138"/>
      <c r="Y102" s="138"/>
      <c r="Z102" s="138"/>
      <c r="AA102" s="138"/>
      <c r="AB102" s="138"/>
      <c r="AC102" s="138"/>
      <c r="AD102" s="138"/>
      <c r="AE102" s="138"/>
      <c r="AF102" s="138"/>
    </row>
    <row r="103" spans="3:32" ht="13.5">
      <c r="C103" s="8">
        <v>97</v>
      </c>
      <c r="D103" s="26">
        <v>0.011</v>
      </c>
      <c r="E103" s="32">
        <f t="shared" si="16"/>
        <v>0.0009166666666666666</v>
      </c>
      <c r="F103" s="138">
        <f t="shared" si="17"/>
        <v>916.6666666666666</v>
      </c>
      <c r="G103" s="138">
        <f t="shared" si="18"/>
        <v>11000</v>
      </c>
      <c r="H103" s="138"/>
      <c r="I103" s="138"/>
      <c r="J103" s="138">
        <f t="shared" si="19"/>
        <v>825</v>
      </c>
      <c r="K103" s="138">
        <f t="shared" si="20"/>
        <v>9900</v>
      </c>
      <c r="L103" s="138"/>
      <c r="M103" s="138"/>
      <c r="N103" s="138"/>
      <c r="O103" s="138"/>
      <c r="P103" s="138"/>
      <c r="Q103" s="142">
        <v>97</v>
      </c>
      <c r="R103" s="48"/>
      <c r="S103" s="8">
        <v>97</v>
      </c>
      <c r="T103" s="9">
        <v>0.011</v>
      </c>
      <c r="U103" s="32">
        <f t="shared" si="13"/>
        <v>0.0009166666666666666</v>
      </c>
      <c r="V103" s="138">
        <f t="shared" si="14"/>
        <v>825</v>
      </c>
      <c r="W103" s="138">
        <f t="shared" si="15"/>
        <v>9900</v>
      </c>
      <c r="X103" s="138"/>
      <c r="Y103" s="138"/>
      <c r="Z103" s="138"/>
      <c r="AA103" s="138"/>
      <c r="AB103" s="138"/>
      <c r="AC103" s="138"/>
      <c r="AD103" s="138"/>
      <c r="AE103" s="138"/>
      <c r="AF103" s="138"/>
    </row>
    <row r="104" spans="3:32" ht="13.5">
      <c r="C104" s="8">
        <v>98</v>
      </c>
      <c r="D104" s="26">
        <v>0.011</v>
      </c>
      <c r="E104" s="32">
        <f t="shared" si="16"/>
        <v>0.0009166666666666666</v>
      </c>
      <c r="F104" s="138">
        <f t="shared" si="17"/>
        <v>916.6666666666666</v>
      </c>
      <c r="G104" s="138">
        <f t="shared" si="18"/>
        <v>11000</v>
      </c>
      <c r="H104" s="138"/>
      <c r="I104" s="138"/>
      <c r="J104" s="138">
        <f t="shared" si="19"/>
        <v>825</v>
      </c>
      <c r="K104" s="138">
        <f t="shared" si="20"/>
        <v>9900</v>
      </c>
      <c r="L104" s="138"/>
      <c r="M104" s="138"/>
      <c r="N104" s="138"/>
      <c r="O104" s="138"/>
      <c r="P104" s="138"/>
      <c r="Q104" s="142">
        <v>98</v>
      </c>
      <c r="R104" s="48"/>
      <c r="S104" s="8">
        <v>98</v>
      </c>
      <c r="T104" s="9">
        <v>0.011</v>
      </c>
      <c r="U104" s="32">
        <f t="shared" si="13"/>
        <v>0.0009166666666666666</v>
      </c>
      <c r="V104" s="138">
        <f t="shared" si="14"/>
        <v>825</v>
      </c>
      <c r="W104" s="138">
        <f t="shared" si="15"/>
        <v>9900</v>
      </c>
      <c r="X104" s="138"/>
      <c r="Y104" s="138"/>
      <c r="Z104" s="138"/>
      <c r="AA104" s="138"/>
      <c r="AB104" s="138"/>
      <c r="AC104" s="138"/>
      <c r="AD104" s="138"/>
      <c r="AE104" s="138"/>
      <c r="AF104" s="138"/>
    </row>
    <row r="105" spans="3:32" ht="13.5">
      <c r="C105" s="8">
        <v>99</v>
      </c>
      <c r="D105" s="26">
        <v>0.011</v>
      </c>
      <c r="E105" s="32">
        <f t="shared" si="16"/>
        <v>0.0009166666666666666</v>
      </c>
      <c r="F105" s="138">
        <f t="shared" si="17"/>
        <v>916.6666666666666</v>
      </c>
      <c r="G105" s="138">
        <f t="shared" si="18"/>
        <v>11000</v>
      </c>
      <c r="H105" s="138"/>
      <c r="I105" s="138"/>
      <c r="J105" s="138">
        <f t="shared" si="19"/>
        <v>825</v>
      </c>
      <c r="K105" s="138">
        <f t="shared" si="20"/>
        <v>9900</v>
      </c>
      <c r="L105" s="138"/>
      <c r="M105" s="138"/>
      <c r="N105" s="138"/>
      <c r="O105" s="138"/>
      <c r="P105" s="138"/>
      <c r="Q105" s="142">
        <v>99</v>
      </c>
      <c r="R105" s="48"/>
      <c r="S105" s="8">
        <v>99</v>
      </c>
      <c r="T105" s="9">
        <v>0.011</v>
      </c>
      <c r="U105" s="32">
        <f t="shared" si="13"/>
        <v>0.0009166666666666666</v>
      </c>
      <c r="V105" s="138">
        <f t="shared" si="14"/>
        <v>825</v>
      </c>
      <c r="W105" s="138">
        <f t="shared" si="15"/>
        <v>9900</v>
      </c>
      <c r="X105" s="138"/>
      <c r="Y105" s="138"/>
      <c r="Z105" s="138"/>
      <c r="AA105" s="138"/>
      <c r="AB105" s="138"/>
      <c r="AC105" s="138"/>
      <c r="AD105" s="138"/>
      <c r="AE105" s="138"/>
      <c r="AF105" s="138"/>
    </row>
    <row r="106" spans="3:32" ht="14.25" thickBot="1">
      <c r="C106" s="23">
        <v>100</v>
      </c>
      <c r="D106" s="31">
        <v>0.01</v>
      </c>
      <c r="E106" s="32">
        <f t="shared" si="16"/>
        <v>0.0008333333333333334</v>
      </c>
      <c r="F106" s="138">
        <f t="shared" si="17"/>
        <v>833.3333333333334</v>
      </c>
      <c r="G106" s="138">
        <f t="shared" si="18"/>
        <v>10000</v>
      </c>
      <c r="H106" s="138"/>
      <c r="I106" s="138"/>
      <c r="J106" s="138">
        <f t="shared" si="19"/>
        <v>750</v>
      </c>
      <c r="K106" s="138">
        <f t="shared" si="20"/>
        <v>9000</v>
      </c>
      <c r="L106" s="138"/>
      <c r="M106" s="138"/>
      <c r="N106" s="138"/>
      <c r="O106" s="138"/>
      <c r="P106" s="138"/>
      <c r="Q106" s="152">
        <v>100</v>
      </c>
      <c r="R106" s="49"/>
      <c r="S106" s="23">
        <v>100</v>
      </c>
      <c r="T106" s="24">
        <v>0.01</v>
      </c>
      <c r="U106" s="32">
        <f t="shared" si="13"/>
        <v>0.0008333333333333334</v>
      </c>
      <c r="V106" s="138">
        <f t="shared" si="14"/>
        <v>750</v>
      </c>
      <c r="W106" s="138">
        <f t="shared" si="15"/>
        <v>9000</v>
      </c>
      <c r="X106" s="138"/>
      <c r="Y106" s="138"/>
      <c r="Z106" s="138"/>
      <c r="AA106" s="138"/>
      <c r="AB106" s="138"/>
      <c r="AC106" s="138"/>
      <c r="AD106" s="138"/>
      <c r="AE106" s="138"/>
      <c r="AF106" s="138"/>
    </row>
    <row r="107" spans="3:21" ht="13.5">
      <c r="C107" s="3"/>
      <c r="D107" s="3"/>
      <c r="E107" s="4"/>
      <c r="I107" s="4"/>
      <c r="S107" s="4"/>
      <c r="T107" s="4"/>
      <c r="U107" s="5"/>
    </row>
  </sheetData>
  <sheetProtection password="E947" sheet="1" objects="1" scenarios="1"/>
  <printOptions/>
  <pageMargins left="0.75" right="0.75" top="1" bottom="1" header="0.512" footer="0.51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O72"/>
  <sheetViews>
    <sheetView zoomScalePageLayoutView="0" workbookViewId="0" topLeftCell="A1">
      <selection activeCell="G21" sqref="G21"/>
    </sheetView>
  </sheetViews>
  <sheetFormatPr defaultColWidth="9.00390625" defaultRowHeight="13.5"/>
  <cols>
    <col min="2" max="2" width="11.25390625" style="0" customWidth="1"/>
    <col min="3" max="3" width="11.125" style="0" customWidth="1"/>
    <col min="4" max="13" width="10.125" style="0" bestFit="1" customWidth="1"/>
    <col min="14" max="15" width="9.125" style="0" bestFit="1" customWidth="1"/>
  </cols>
  <sheetData>
    <row r="1" spans="1:15" ht="14.25" thickBot="1">
      <c r="A1" s="310"/>
      <c r="B1" s="310"/>
      <c r="C1" s="310"/>
      <c r="D1" s="310"/>
      <c r="E1" s="310"/>
      <c r="F1" s="310"/>
      <c r="G1" s="310"/>
      <c r="H1" s="310"/>
      <c r="I1" s="310"/>
      <c r="J1" s="310"/>
      <c r="K1" s="310"/>
      <c r="L1" s="310"/>
      <c r="M1" s="310"/>
      <c r="N1" s="310"/>
      <c r="O1" s="310"/>
    </row>
    <row r="2" spans="1:15" ht="13.5">
      <c r="A2" s="321"/>
      <c r="B2" s="312" t="s">
        <v>38</v>
      </c>
      <c r="C2" s="313"/>
      <c r="D2" s="322" t="s">
        <v>38</v>
      </c>
      <c r="E2" s="323"/>
      <c r="F2" s="312" t="s">
        <v>433</v>
      </c>
      <c r="G2" s="313"/>
      <c r="H2" s="324" t="s">
        <v>433</v>
      </c>
      <c r="I2" s="323"/>
      <c r="J2" s="312" t="s">
        <v>433</v>
      </c>
      <c r="K2" s="318"/>
      <c r="L2" s="324" t="s">
        <v>433</v>
      </c>
      <c r="M2" s="323"/>
      <c r="N2" s="312"/>
      <c r="O2" s="313"/>
    </row>
    <row r="3" spans="1:15" ht="13.5">
      <c r="A3" s="325"/>
      <c r="B3" s="314" t="s">
        <v>464</v>
      </c>
      <c r="C3" s="315">
        <v>0.066</v>
      </c>
      <c r="D3" s="266" t="s">
        <v>465</v>
      </c>
      <c r="E3" s="265">
        <v>0.058</v>
      </c>
      <c r="F3" s="314" t="s">
        <v>466</v>
      </c>
      <c r="G3" s="315">
        <v>0.125</v>
      </c>
      <c r="H3" s="267" t="s">
        <v>467</v>
      </c>
      <c r="I3" s="265">
        <v>0.25</v>
      </c>
      <c r="J3" s="314" t="s">
        <v>468</v>
      </c>
      <c r="K3" s="319">
        <v>0.2</v>
      </c>
      <c r="L3" s="267" t="s">
        <v>469</v>
      </c>
      <c r="M3" s="265">
        <v>0.142</v>
      </c>
      <c r="N3" s="314" t="s">
        <v>470</v>
      </c>
      <c r="O3" s="315">
        <v>0.143</v>
      </c>
    </row>
    <row r="4" spans="1:15" ht="14.25" thickBot="1">
      <c r="A4" s="326"/>
      <c r="B4" s="316"/>
      <c r="C4" s="317" t="s">
        <v>471</v>
      </c>
      <c r="D4" s="327"/>
      <c r="E4" s="328" t="s">
        <v>472</v>
      </c>
      <c r="F4" s="316"/>
      <c r="G4" s="317" t="s">
        <v>473</v>
      </c>
      <c r="H4" s="329"/>
      <c r="I4" s="328" t="s">
        <v>165</v>
      </c>
      <c r="J4" s="316"/>
      <c r="K4" s="320" t="s">
        <v>166</v>
      </c>
      <c r="L4" s="329"/>
      <c r="M4" s="328" t="s">
        <v>474</v>
      </c>
      <c r="N4" s="316"/>
      <c r="O4" s="317" t="s">
        <v>475</v>
      </c>
    </row>
    <row r="5" spans="1:15" ht="13.5">
      <c r="A5" s="330" t="s">
        <v>476</v>
      </c>
      <c r="B5" s="331">
        <v>37200</v>
      </c>
      <c r="C5" s="332">
        <v>962800</v>
      </c>
      <c r="D5" s="333"/>
      <c r="E5" s="334"/>
      <c r="F5" s="331"/>
      <c r="G5" s="332"/>
      <c r="H5" s="335"/>
      <c r="I5" s="334"/>
      <c r="J5" s="331"/>
      <c r="K5" s="336"/>
      <c r="L5" s="335"/>
      <c r="M5" s="334" t="s">
        <v>477</v>
      </c>
      <c r="N5" s="331"/>
      <c r="O5" s="332"/>
    </row>
    <row r="6" spans="1:15" ht="13.5">
      <c r="A6" s="325" t="s">
        <v>478</v>
      </c>
      <c r="B6" s="314">
        <v>55800</v>
      </c>
      <c r="C6" s="315">
        <v>907000</v>
      </c>
      <c r="D6" s="266">
        <v>41250</v>
      </c>
      <c r="E6" s="265">
        <v>958750</v>
      </c>
      <c r="F6" s="314"/>
      <c r="G6" s="315"/>
      <c r="H6" s="267"/>
      <c r="I6" s="265"/>
      <c r="J6" s="314"/>
      <c r="K6" s="319"/>
      <c r="L6" s="267"/>
      <c r="M6" s="265" t="s">
        <v>479</v>
      </c>
      <c r="N6" s="314"/>
      <c r="O6" s="315"/>
    </row>
    <row r="7" spans="1:15" ht="13.5">
      <c r="A7" s="325" t="s">
        <v>480</v>
      </c>
      <c r="B7" s="314">
        <v>59400</v>
      </c>
      <c r="C7" s="315">
        <v>847600</v>
      </c>
      <c r="D7" s="266">
        <v>52200</v>
      </c>
      <c r="E7" s="265">
        <v>906550</v>
      </c>
      <c r="F7" s="314">
        <v>91125</v>
      </c>
      <c r="G7" s="315">
        <v>988875</v>
      </c>
      <c r="H7" s="267"/>
      <c r="I7" s="265"/>
      <c r="J7" s="314"/>
      <c r="K7" s="319"/>
      <c r="L7" s="267"/>
      <c r="M7" s="265"/>
      <c r="N7" s="314"/>
      <c r="O7" s="315"/>
    </row>
    <row r="8" spans="1:15" ht="13.5">
      <c r="A8" s="325" t="s">
        <v>481</v>
      </c>
      <c r="B8" s="314">
        <v>59400</v>
      </c>
      <c r="C8" s="315">
        <v>788200</v>
      </c>
      <c r="D8" s="266">
        <v>52200</v>
      </c>
      <c r="E8" s="265">
        <v>854350</v>
      </c>
      <c r="F8" s="314">
        <v>121500</v>
      </c>
      <c r="G8" s="315">
        <v>867375</v>
      </c>
      <c r="H8" s="267"/>
      <c r="I8" s="265"/>
      <c r="J8" s="314"/>
      <c r="K8" s="319"/>
      <c r="L8" s="267"/>
      <c r="M8" s="265"/>
      <c r="N8" s="314"/>
      <c r="O8" s="315"/>
    </row>
    <row r="9" spans="1:15" ht="13.5">
      <c r="A9" s="325" t="s">
        <v>482</v>
      </c>
      <c r="B9" s="314">
        <v>59400</v>
      </c>
      <c r="C9" s="315">
        <v>728800</v>
      </c>
      <c r="D9" s="266">
        <v>52200</v>
      </c>
      <c r="E9" s="265">
        <v>802150</v>
      </c>
      <c r="F9" s="314">
        <v>121500</v>
      </c>
      <c r="G9" s="315">
        <v>745875</v>
      </c>
      <c r="H9" s="267"/>
      <c r="I9" s="265"/>
      <c r="J9" s="314"/>
      <c r="K9" s="319"/>
      <c r="L9" s="267"/>
      <c r="M9" s="265"/>
      <c r="N9" s="314"/>
      <c r="O9" s="315"/>
    </row>
    <row r="10" spans="1:15" ht="13.5">
      <c r="A10" s="325" t="s">
        <v>483</v>
      </c>
      <c r="B10" s="314">
        <v>59400</v>
      </c>
      <c r="C10" s="315">
        <v>669400</v>
      </c>
      <c r="D10" s="266">
        <v>52200</v>
      </c>
      <c r="E10" s="265">
        <v>749950</v>
      </c>
      <c r="F10" s="314">
        <v>121500</v>
      </c>
      <c r="G10" s="315">
        <v>624375</v>
      </c>
      <c r="H10" s="267"/>
      <c r="I10" s="265"/>
      <c r="J10" s="314"/>
      <c r="K10" s="319"/>
      <c r="L10" s="267"/>
      <c r="M10" s="265"/>
      <c r="N10" s="314"/>
      <c r="O10" s="315"/>
    </row>
    <row r="11" spans="1:15" ht="13.5">
      <c r="A11" s="325" t="s">
        <v>484</v>
      </c>
      <c r="B11" s="314">
        <v>59400</v>
      </c>
      <c r="C11" s="315">
        <v>610000</v>
      </c>
      <c r="D11" s="266">
        <v>52200</v>
      </c>
      <c r="E11" s="265">
        <v>697750</v>
      </c>
      <c r="F11" s="314">
        <v>121500</v>
      </c>
      <c r="G11" s="315">
        <v>502875</v>
      </c>
      <c r="H11" s="267"/>
      <c r="I11" s="265"/>
      <c r="J11" s="314"/>
      <c r="K11" s="319"/>
      <c r="L11" s="267"/>
      <c r="M11" s="265"/>
      <c r="N11" s="314"/>
      <c r="O11" s="315"/>
    </row>
    <row r="12" spans="1:15" ht="13.5">
      <c r="A12" s="325" t="s">
        <v>485</v>
      </c>
      <c r="B12" s="314">
        <v>59400</v>
      </c>
      <c r="C12" s="315">
        <v>550600</v>
      </c>
      <c r="D12" s="266">
        <v>52200</v>
      </c>
      <c r="E12" s="265">
        <v>645550</v>
      </c>
      <c r="F12" s="314">
        <v>121500</v>
      </c>
      <c r="G12" s="315">
        <v>381375</v>
      </c>
      <c r="H12" s="267"/>
      <c r="I12" s="265"/>
      <c r="J12" s="314"/>
      <c r="K12" s="319"/>
      <c r="L12" s="267"/>
      <c r="M12" s="265"/>
      <c r="N12" s="314"/>
      <c r="O12" s="315"/>
    </row>
    <row r="13" spans="1:15" ht="13.5">
      <c r="A13" s="325" t="s">
        <v>486</v>
      </c>
      <c r="B13" s="314">
        <v>59400</v>
      </c>
      <c r="C13" s="315">
        <v>491200</v>
      </c>
      <c r="D13" s="266">
        <v>52200</v>
      </c>
      <c r="E13" s="265">
        <v>593350</v>
      </c>
      <c r="F13" s="314">
        <v>121500</v>
      </c>
      <c r="G13" s="315">
        <v>259875</v>
      </c>
      <c r="H13" s="267"/>
      <c r="I13" s="265"/>
      <c r="J13" s="314"/>
      <c r="K13" s="319"/>
      <c r="L13" s="267"/>
      <c r="M13" s="265"/>
      <c r="N13" s="314"/>
      <c r="O13" s="315"/>
    </row>
    <row r="14" spans="1:15" ht="13.5">
      <c r="A14" s="325" t="s">
        <v>487</v>
      </c>
      <c r="B14" s="314">
        <v>59400</v>
      </c>
      <c r="C14" s="315">
        <v>431800</v>
      </c>
      <c r="D14" s="266">
        <v>52200</v>
      </c>
      <c r="E14" s="265">
        <v>541150</v>
      </c>
      <c r="F14" s="314">
        <v>121500</v>
      </c>
      <c r="G14" s="315">
        <v>138375</v>
      </c>
      <c r="H14" s="267"/>
      <c r="I14" s="265"/>
      <c r="J14" s="314"/>
      <c r="K14" s="319"/>
      <c r="L14" s="267">
        <v>195960</v>
      </c>
      <c r="M14" s="265">
        <v>4404040</v>
      </c>
      <c r="N14" s="314"/>
      <c r="O14" s="315"/>
    </row>
    <row r="15" spans="1:15" ht="13.5">
      <c r="A15" s="325" t="s">
        <v>25</v>
      </c>
      <c r="B15" s="314">
        <v>59400</v>
      </c>
      <c r="C15" s="315">
        <v>372400</v>
      </c>
      <c r="D15" s="266">
        <v>52200</v>
      </c>
      <c r="E15" s="265">
        <v>488950</v>
      </c>
      <c r="F15" s="314">
        <v>84375</v>
      </c>
      <c r="G15" s="315">
        <v>54000</v>
      </c>
      <c r="H15" s="267">
        <v>187500</v>
      </c>
      <c r="I15" s="265">
        <v>812500</v>
      </c>
      <c r="J15" s="314"/>
      <c r="K15" s="319"/>
      <c r="L15" s="267">
        <v>587880</v>
      </c>
      <c r="M15" s="265">
        <v>3816160</v>
      </c>
      <c r="N15" s="314">
        <v>119166.66666666667</v>
      </c>
      <c r="O15" s="315">
        <v>880833.3333333334</v>
      </c>
    </row>
    <row r="16" spans="1:15" ht="13.5">
      <c r="A16" s="325" t="s">
        <v>7</v>
      </c>
      <c r="B16" s="314">
        <v>59400</v>
      </c>
      <c r="C16" s="315">
        <v>313000</v>
      </c>
      <c r="D16" s="266">
        <v>52200</v>
      </c>
      <c r="E16" s="265">
        <v>436750</v>
      </c>
      <c r="F16" s="314">
        <v>10800</v>
      </c>
      <c r="G16" s="315">
        <v>43200</v>
      </c>
      <c r="H16" s="267">
        <v>225000</v>
      </c>
      <c r="I16" s="265">
        <v>587500</v>
      </c>
      <c r="J16" s="314">
        <v>179666.66666666666</v>
      </c>
      <c r="K16" s="319">
        <v>800333.3333333334</v>
      </c>
      <c r="L16" s="267">
        <v>587880</v>
      </c>
      <c r="M16" s="265">
        <v>3228280</v>
      </c>
      <c r="N16" s="314">
        <v>143000</v>
      </c>
      <c r="O16" s="315">
        <v>737833.3333333334</v>
      </c>
    </row>
    <row r="17" spans="1:15" ht="13.5">
      <c r="A17" s="325" t="s">
        <v>9</v>
      </c>
      <c r="B17" s="314">
        <v>59400</v>
      </c>
      <c r="C17" s="315">
        <v>253600</v>
      </c>
      <c r="D17" s="266">
        <v>52200</v>
      </c>
      <c r="E17" s="265">
        <v>384550</v>
      </c>
      <c r="F17" s="314">
        <v>10800</v>
      </c>
      <c r="G17" s="315">
        <v>32400</v>
      </c>
      <c r="H17" s="267">
        <v>225000</v>
      </c>
      <c r="I17" s="265">
        <v>362500</v>
      </c>
      <c r="J17" s="314">
        <v>196000</v>
      </c>
      <c r="K17" s="319">
        <v>604333.3333333334</v>
      </c>
      <c r="L17" s="267">
        <v>587880</v>
      </c>
      <c r="M17" s="265">
        <v>2640400</v>
      </c>
      <c r="N17" s="314">
        <v>143000</v>
      </c>
      <c r="O17" s="315">
        <v>594833.3333333334</v>
      </c>
    </row>
    <row r="18" spans="1:15" ht="13.5">
      <c r="A18" s="325" t="s">
        <v>11</v>
      </c>
      <c r="B18" s="314">
        <v>59400</v>
      </c>
      <c r="C18" s="315">
        <v>194200</v>
      </c>
      <c r="D18" s="266">
        <v>52200</v>
      </c>
      <c r="E18" s="265">
        <v>332350</v>
      </c>
      <c r="F18" s="314">
        <v>10800</v>
      </c>
      <c r="G18" s="315">
        <v>21600</v>
      </c>
      <c r="H18" s="267">
        <v>225000</v>
      </c>
      <c r="I18" s="265">
        <v>137500</v>
      </c>
      <c r="J18" s="314">
        <v>196000</v>
      </c>
      <c r="K18" s="319">
        <v>408333.3333333334</v>
      </c>
      <c r="L18" s="267">
        <v>587880</v>
      </c>
      <c r="M18" s="265">
        <v>2052520</v>
      </c>
      <c r="N18" s="314">
        <v>143000</v>
      </c>
      <c r="O18" s="315">
        <v>451833.3333333334</v>
      </c>
    </row>
    <row r="19" spans="1:15" ht="13.5">
      <c r="A19" s="325" t="s">
        <v>13</v>
      </c>
      <c r="B19" s="314">
        <v>59400</v>
      </c>
      <c r="C19" s="315">
        <v>134800</v>
      </c>
      <c r="D19" s="266">
        <v>52200</v>
      </c>
      <c r="E19" s="265">
        <v>280150</v>
      </c>
      <c r="F19" s="314">
        <v>10800</v>
      </c>
      <c r="G19" s="315">
        <v>10800</v>
      </c>
      <c r="H19" s="267">
        <v>87500</v>
      </c>
      <c r="I19" s="265">
        <v>50000</v>
      </c>
      <c r="J19" s="314">
        <v>196000</v>
      </c>
      <c r="K19" s="319">
        <v>212333.33333333337</v>
      </c>
      <c r="L19" s="267">
        <v>587880</v>
      </c>
      <c r="M19" s="265">
        <v>1464640</v>
      </c>
      <c r="N19" s="314">
        <v>143000</v>
      </c>
      <c r="O19" s="315">
        <v>308833.3333333334</v>
      </c>
    </row>
    <row r="20" spans="1:15" ht="13.5">
      <c r="A20" s="325" t="s">
        <v>15</v>
      </c>
      <c r="B20" s="314">
        <v>59400</v>
      </c>
      <c r="C20" s="315">
        <v>75400</v>
      </c>
      <c r="D20" s="266">
        <v>52200</v>
      </c>
      <c r="E20" s="265">
        <v>227950</v>
      </c>
      <c r="F20" s="314">
        <v>10799</v>
      </c>
      <c r="G20" s="315">
        <v>1</v>
      </c>
      <c r="H20" s="267">
        <v>10000</v>
      </c>
      <c r="I20" s="265">
        <v>40000</v>
      </c>
      <c r="J20" s="314">
        <v>196000</v>
      </c>
      <c r="K20" s="319">
        <v>16333.333333333372</v>
      </c>
      <c r="L20" s="267">
        <v>587880</v>
      </c>
      <c r="M20" s="265">
        <v>876760</v>
      </c>
      <c r="N20" s="314">
        <v>143000</v>
      </c>
      <c r="O20" s="315">
        <v>165833.33333333337</v>
      </c>
    </row>
    <row r="21" spans="1:15" ht="13.5">
      <c r="A21" s="325" t="s">
        <v>17</v>
      </c>
      <c r="B21" s="314">
        <v>25400</v>
      </c>
      <c r="C21" s="315">
        <v>50000</v>
      </c>
      <c r="D21" s="266">
        <v>52200</v>
      </c>
      <c r="E21" s="265">
        <v>175750</v>
      </c>
      <c r="F21" s="314"/>
      <c r="G21" s="315"/>
      <c r="H21" s="267">
        <v>10000</v>
      </c>
      <c r="I21" s="265">
        <v>30000</v>
      </c>
      <c r="J21" s="314">
        <v>16332</v>
      </c>
      <c r="K21" s="319">
        <v>1.3333333333721384</v>
      </c>
      <c r="L21" s="267">
        <v>587880</v>
      </c>
      <c r="M21" s="265">
        <v>288880</v>
      </c>
      <c r="N21" s="314">
        <v>143000</v>
      </c>
      <c r="O21" s="315">
        <v>22833.333333333372</v>
      </c>
    </row>
    <row r="22" spans="1:15" ht="13.5">
      <c r="A22" s="325" t="s">
        <v>21</v>
      </c>
      <c r="B22" s="314">
        <v>10000</v>
      </c>
      <c r="C22" s="315">
        <v>40000</v>
      </c>
      <c r="D22" s="266">
        <v>52200</v>
      </c>
      <c r="E22" s="265">
        <v>123550</v>
      </c>
      <c r="F22" s="314"/>
      <c r="G22" s="315"/>
      <c r="H22" s="267">
        <v>10000</v>
      </c>
      <c r="I22" s="265">
        <v>20000</v>
      </c>
      <c r="J22" s="314"/>
      <c r="K22" s="319"/>
      <c r="L22" s="267">
        <v>58880</v>
      </c>
      <c r="M22" s="265">
        <v>230000</v>
      </c>
      <c r="N22" s="314">
        <v>22832</v>
      </c>
      <c r="O22" s="315">
        <v>1.3333333333721384</v>
      </c>
    </row>
    <row r="23" spans="1:15" ht="13.5">
      <c r="A23" s="325" t="s">
        <v>22</v>
      </c>
      <c r="B23" s="314">
        <v>10000</v>
      </c>
      <c r="C23" s="315">
        <v>30000</v>
      </c>
      <c r="D23" s="266">
        <v>52200</v>
      </c>
      <c r="E23" s="265">
        <v>71350</v>
      </c>
      <c r="F23" s="314"/>
      <c r="G23" s="315"/>
      <c r="H23" s="267">
        <v>10000</v>
      </c>
      <c r="I23" s="265">
        <v>10000</v>
      </c>
      <c r="J23" s="314"/>
      <c r="K23" s="319"/>
      <c r="L23" s="267">
        <v>46000</v>
      </c>
      <c r="M23" s="265">
        <v>184000</v>
      </c>
      <c r="N23" s="314"/>
      <c r="O23" s="315"/>
    </row>
    <row r="24" spans="1:15" ht="13.5">
      <c r="A24" s="325" t="s">
        <v>23</v>
      </c>
      <c r="B24" s="314">
        <v>10000</v>
      </c>
      <c r="C24" s="315">
        <v>20000</v>
      </c>
      <c r="D24" s="266">
        <v>21350</v>
      </c>
      <c r="E24" s="265">
        <v>50000</v>
      </c>
      <c r="F24" s="314"/>
      <c r="G24" s="315"/>
      <c r="H24" s="267">
        <v>9999</v>
      </c>
      <c r="I24" s="265">
        <v>1</v>
      </c>
      <c r="J24" s="314"/>
      <c r="K24" s="319"/>
      <c r="L24" s="267">
        <v>46000</v>
      </c>
      <c r="M24" s="265">
        <v>138000</v>
      </c>
      <c r="N24" s="314"/>
      <c r="O24" s="315"/>
    </row>
    <row r="25" spans="1:15" ht="13.5">
      <c r="A25" s="325" t="s">
        <v>24</v>
      </c>
      <c r="B25" s="314">
        <v>10000</v>
      </c>
      <c r="C25" s="315">
        <v>10000</v>
      </c>
      <c r="D25" s="266">
        <v>10000</v>
      </c>
      <c r="E25" s="265">
        <v>40000</v>
      </c>
      <c r="F25" s="314"/>
      <c r="G25" s="315"/>
      <c r="H25" s="267"/>
      <c r="I25" s="265"/>
      <c r="J25" s="314"/>
      <c r="K25" s="319"/>
      <c r="L25" s="267">
        <v>46000</v>
      </c>
      <c r="M25" s="265">
        <v>92000</v>
      </c>
      <c r="N25" s="314"/>
      <c r="O25" s="315"/>
    </row>
    <row r="26" spans="1:15" ht="14.25" thickBot="1">
      <c r="A26" s="326" t="s">
        <v>488</v>
      </c>
      <c r="B26" s="316">
        <v>9999</v>
      </c>
      <c r="C26" s="317">
        <v>1</v>
      </c>
      <c r="D26" s="327">
        <v>10000</v>
      </c>
      <c r="E26" s="328">
        <v>30000</v>
      </c>
      <c r="F26" s="316"/>
      <c r="G26" s="317"/>
      <c r="H26" s="329"/>
      <c r="I26" s="328"/>
      <c r="J26" s="316"/>
      <c r="K26" s="320"/>
      <c r="L26" s="329">
        <v>46000</v>
      </c>
      <c r="M26" s="328">
        <v>46000</v>
      </c>
      <c r="N26" s="316"/>
      <c r="O26" s="317"/>
    </row>
    <row r="27" spans="1:15" ht="13.5">
      <c r="A27" s="311"/>
      <c r="B27" s="311" t="s">
        <v>489</v>
      </c>
      <c r="C27" s="311"/>
      <c r="D27" s="311"/>
      <c r="E27" s="311"/>
      <c r="F27" s="311"/>
      <c r="G27" s="311"/>
      <c r="H27" s="311"/>
      <c r="I27" s="311"/>
      <c r="J27" s="311"/>
      <c r="K27" s="311"/>
      <c r="L27" s="311">
        <v>45999</v>
      </c>
      <c r="M27" s="311">
        <v>1</v>
      </c>
      <c r="N27" s="311"/>
      <c r="O27" s="311"/>
    </row>
    <row r="28" spans="1:15" ht="13.5">
      <c r="A28" s="1"/>
      <c r="B28" s="1" t="s">
        <v>490</v>
      </c>
      <c r="C28" s="1"/>
      <c r="D28" s="1"/>
      <c r="E28" s="1"/>
      <c r="F28" s="1" t="s">
        <v>491</v>
      </c>
      <c r="G28" s="1"/>
      <c r="H28" s="1" t="s">
        <v>492</v>
      </c>
      <c r="I28" s="1"/>
      <c r="J28" s="1" t="s">
        <v>493</v>
      </c>
      <c r="K28" s="1"/>
      <c r="L28" s="1" t="s">
        <v>494</v>
      </c>
      <c r="M28" s="1"/>
      <c r="N28" s="1"/>
      <c r="O28" s="1"/>
    </row>
    <row r="29" spans="1:15" ht="13.5">
      <c r="A29" s="1"/>
      <c r="B29" s="1" t="s">
        <v>495</v>
      </c>
      <c r="C29" s="1"/>
      <c r="D29" s="1"/>
      <c r="E29" s="1"/>
      <c r="F29" s="1" t="s">
        <v>496</v>
      </c>
      <c r="G29" s="1"/>
      <c r="H29" s="1" t="s">
        <v>497</v>
      </c>
      <c r="I29" s="1"/>
      <c r="J29" s="1" t="s">
        <v>498</v>
      </c>
      <c r="K29" s="1"/>
      <c r="L29" s="1" t="s">
        <v>499</v>
      </c>
      <c r="M29" s="1"/>
      <c r="N29" s="1"/>
      <c r="O29" s="1"/>
    </row>
    <row r="30" spans="1:15" ht="13.5">
      <c r="A30" s="1"/>
      <c r="B30" s="1" t="s">
        <v>500</v>
      </c>
      <c r="C30" s="1"/>
      <c r="D30" s="1"/>
      <c r="E30" s="1"/>
      <c r="F30" s="1"/>
      <c r="G30" s="1"/>
      <c r="H30" s="1"/>
      <c r="I30" s="1"/>
      <c r="J30" s="1"/>
      <c r="K30" s="1"/>
      <c r="L30" s="1" t="s">
        <v>501</v>
      </c>
      <c r="M30" s="1"/>
      <c r="N30" s="1"/>
      <c r="O30" s="1"/>
    </row>
    <row r="32" spans="2:3" ht="14.25" thickBot="1">
      <c r="B32" t="s">
        <v>529</v>
      </c>
      <c r="C32">
        <v>0.125</v>
      </c>
    </row>
    <row r="33" spans="2:13" ht="14.25" thickBot="1">
      <c r="B33" s="347" t="s">
        <v>525</v>
      </c>
      <c r="C33" s="348"/>
      <c r="D33" s="350" t="s">
        <v>526</v>
      </c>
      <c r="E33" s="348"/>
      <c r="F33" s="347" t="s">
        <v>527</v>
      </c>
      <c r="G33" s="349"/>
      <c r="H33" s="347" t="s">
        <v>528</v>
      </c>
      <c r="I33" s="348"/>
      <c r="J33" s="349" t="s">
        <v>530</v>
      </c>
      <c r="K33" s="349"/>
      <c r="L33" s="347" t="s">
        <v>531</v>
      </c>
      <c r="M33" s="348"/>
    </row>
    <row r="34" spans="2:13" ht="13.5">
      <c r="B34" s="311" t="s">
        <v>534</v>
      </c>
      <c r="C34" s="311" t="s">
        <v>460</v>
      </c>
      <c r="D34" s="311" t="s">
        <v>534</v>
      </c>
      <c r="E34" s="311" t="s">
        <v>460</v>
      </c>
      <c r="F34" s="311" t="s">
        <v>534</v>
      </c>
      <c r="G34" s="311" t="s">
        <v>460</v>
      </c>
      <c r="H34" s="311" t="s">
        <v>534</v>
      </c>
      <c r="I34" s="311" t="s">
        <v>460</v>
      </c>
      <c r="J34" s="311" t="s">
        <v>534</v>
      </c>
      <c r="K34" s="311" t="s">
        <v>460</v>
      </c>
      <c r="L34" s="311" t="s">
        <v>534</v>
      </c>
      <c r="M34" s="311" t="s">
        <v>460</v>
      </c>
    </row>
    <row r="35" spans="1:13" ht="13.5">
      <c r="A35" s="325" t="s">
        <v>484</v>
      </c>
      <c r="B35" s="351"/>
      <c r="C35" s="352"/>
      <c r="D35" s="351"/>
      <c r="E35" s="352"/>
      <c r="F35" s="351"/>
      <c r="G35" s="352"/>
      <c r="H35" s="351"/>
      <c r="I35" s="352"/>
      <c r="J35" s="351"/>
      <c r="K35" s="352"/>
      <c r="L35" s="351"/>
      <c r="M35" s="352"/>
    </row>
    <row r="36" spans="1:13" ht="13.5">
      <c r="A36" s="325" t="s">
        <v>485</v>
      </c>
      <c r="B36" s="351"/>
      <c r="C36" s="352"/>
      <c r="D36" s="351"/>
      <c r="E36" s="352"/>
      <c r="F36" s="351"/>
      <c r="G36" s="352"/>
      <c r="H36" s="351"/>
      <c r="I36" s="352"/>
      <c r="J36" s="351"/>
      <c r="K36" s="352"/>
      <c r="L36" s="351"/>
      <c r="M36" s="352"/>
    </row>
    <row r="37" spans="1:13" ht="13.5">
      <c r="A37" s="325" t="s">
        <v>486</v>
      </c>
      <c r="B37" s="351"/>
      <c r="C37" s="352"/>
      <c r="D37" s="351"/>
      <c r="E37" s="352"/>
      <c r="F37" s="351"/>
      <c r="G37" s="352"/>
      <c r="H37" s="351"/>
      <c r="I37" s="352"/>
      <c r="J37" s="351"/>
      <c r="K37" s="352"/>
      <c r="L37" s="351"/>
      <c r="M37" s="352"/>
    </row>
    <row r="38" spans="1:13" ht="13.5">
      <c r="A38" s="325" t="s">
        <v>487</v>
      </c>
      <c r="B38" s="351"/>
      <c r="C38" s="352"/>
      <c r="D38" s="351"/>
      <c r="E38" s="352"/>
      <c r="F38" s="351"/>
      <c r="G38" s="352"/>
      <c r="H38" s="351"/>
      <c r="I38" s="352"/>
      <c r="J38" s="351"/>
      <c r="K38" s="352"/>
      <c r="L38" s="351"/>
      <c r="M38" s="352"/>
    </row>
    <row r="39" spans="1:13" ht="13.5">
      <c r="A39" s="325" t="s">
        <v>25</v>
      </c>
      <c r="B39" s="351">
        <f>112500</f>
        <v>112500</v>
      </c>
      <c r="C39" s="352">
        <v>887500</v>
      </c>
      <c r="D39" s="351">
        <v>72916</v>
      </c>
      <c r="E39" s="352">
        <f>1000000-D39</f>
        <v>927084</v>
      </c>
      <c r="F39" s="351"/>
      <c r="G39" s="352"/>
      <c r="H39" s="351"/>
      <c r="I39" s="352"/>
      <c r="J39" s="351"/>
      <c r="K39" s="352"/>
      <c r="L39" s="351"/>
      <c r="M39" s="352"/>
    </row>
    <row r="40" spans="1:13" ht="13.5">
      <c r="A40" s="325" t="s">
        <v>7</v>
      </c>
      <c r="B40" s="351">
        <f>112500</f>
        <v>112500</v>
      </c>
      <c r="C40" s="352">
        <f>C39-B40</f>
        <v>775000</v>
      </c>
      <c r="D40" s="351">
        <v>125000</v>
      </c>
      <c r="E40" s="352">
        <f>E39-D40</f>
        <v>802084</v>
      </c>
      <c r="F40" s="351">
        <v>125000</v>
      </c>
      <c r="G40" s="352">
        <f>1000000-F40</f>
        <v>875000</v>
      </c>
      <c r="H40" s="351">
        <v>72916</v>
      </c>
      <c r="I40" s="352">
        <f>1000000-H40</f>
        <v>927084</v>
      </c>
      <c r="J40" s="351"/>
      <c r="K40" s="352"/>
      <c r="L40" s="351"/>
      <c r="M40" s="352"/>
    </row>
    <row r="41" spans="1:13" ht="13.5">
      <c r="A41" s="353" t="s">
        <v>9</v>
      </c>
      <c r="B41" s="351">
        <f>112500</f>
        <v>112500</v>
      </c>
      <c r="C41" s="352">
        <f>C40-B41</f>
        <v>662500</v>
      </c>
      <c r="D41" s="354">
        <v>31250</v>
      </c>
      <c r="E41" s="355">
        <f>E40-D41</f>
        <v>770834</v>
      </c>
      <c r="F41" s="354">
        <v>125000</v>
      </c>
      <c r="G41" s="355">
        <f>G40-F41</f>
        <v>750000</v>
      </c>
      <c r="H41" s="354">
        <v>125000</v>
      </c>
      <c r="I41" s="355">
        <f>I40-H41</f>
        <v>802084</v>
      </c>
      <c r="J41" s="354">
        <v>125000</v>
      </c>
      <c r="K41" s="355">
        <f>1000000-J41</f>
        <v>875000</v>
      </c>
      <c r="L41" s="354">
        <v>72916</v>
      </c>
      <c r="M41" s="355">
        <f>1000000-L41</f>
        <v>927084</v>
      </c>
    </row>
    <row r="42" spans="1:13" ht="13.5">
      <c r="A42" s="325" t="s">
        <v>11</v>
      </c>
      <c r="B42" s="351">
        <f>112500</f>
        <v>112500</v>
      </c>
      <c r="C42" s="352">
        <f>C41-B42</f>
        <v>550000</v>
      </c>
      <c r="D42" s="351"/>
      <c r="E42" s="352"/>
      <c r="F42" s="351">
        <v>125000</v>
      </c>
      <c r="G42" s="352">
        <f>G41-F42</f>
        <v>625000</v>
      </c>
      <c r="H42" s="351">
        <v>125000</v>
      </c>
      <c r="I42" s="352">
        <f>I41-H42</f>
        <v>677084</v>
      </c>
      <c r="J42" s="351">
        <v>125000</v>
      </c>
      <c r="K42" s="352">
        <f>K41-J42</f>
        <v>750000</v>
      </c>
      <c r="L42" s="351">
        <v>125000</v>
      </c>
      <c r="M42" s="352">
        <f>M41-L42</f>
        <v>802084</v>
      </c>
    </row>
    <row r="43" spans="2:4" ht="13.5">
      <c r="B43" t="s">
        <v>532</v>
      </c>
      <c r="D43" t="s">
        <v>166</v>
      </c>
    </row>
    <row r="45" ht="13.5">
      <c r="B45" t="s">
        <v>533</v>
      </c>
    </row>
    <row r="46" ht="13.5">
      <c r="B46" t="s">
        <v>535</v>
      </c>
    </row>
    <row r="47" spans="4:5" ht="13.5">
      <c r="D47">
        <v>65626</v>
      </c>
      <c r="E47">
        <f>1000000-D47</f>
        <v>934374</v>
      </c>
    </row>
    <row r="48" spans="4:5" ht="13.5">
      <c r="D48">
        <v>112500</v>
      </c>
      <c r="E48">
        <f>E47-D48</f>
        <v>821874</v>
      </c>
    </row>
    <row r="49" spans="4:5" ht="13.5">
      <c r="D49">
        <v>28125</v>
      </c>
      <c r="E49">
        <f>E48-D49</f>
        <v>793749</v>
      </c>
    </row>
    <row r="72" ht="13.5">
      <c r="D72">
        <v>2</v>
      </c>
    </row>
  </sheetData>
  <sheetProtection password="E947" sheet="1" objects="1" scenarios="1"/>
  <printOptions/>
  <pageMargins left="0.32" right="0.33" top="1" bottom="1" header="0.512" footer="0.512"/>
  <pageSetup horizontalDpi="600" verticalDpi="600" orientation="landscape" paperSize="9" scale="95"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hokari</dc:creator>
  <cp:keywords/>
  <dc:description/>
  <cp:lastModifiedBy>保苅浩</cp:lastModifiedBy>
  <cp:lastPrinted>2019-02-15T04:53:16Z</cp:lastPrinted>
  <dcterms:created xsi:type="dcterms:W3CDTF">2009-03-03T00:14:53Z</dcterms:created>
  <dcterms:modified xsi:type="dcterms:W3CDTF">2020-02-15T06:56:49Z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